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5DF30A36-534E-4DD7-BC81-D10CE0E942C5}" xr6:coauthVersionLast="47" xr6:coauthVersionMax="47" xr10:uidLastSave="{00000000-0000-0000-0000-000000000000}"/>
  <bookViews>
    <workbookView xWindow="-120" yWindow="-120" windowWidth="20730" windowHeight="11160" tabRatio="851" activeTab="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DF12" i="28"/>
  <c r="CO12" i="28"/>
  <c r="CN12" i="28"/>
  <c r="CM12" i="28"/>
  <c r="CL12" i="28"/>
  <c r="CJ12" i="28"/>
  <c r="CI12" i="28"/>
  <c r="CH12" i="28"/>
  <c r="CG12" i="28"/>
  <c r="CF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D16" i="10"/>
  <c r="DA17" i="28" s="1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CY19" i="28"/>
  <c r="EB19" i="28"/>
  <c r="DW19" i="28"/>
  <c r="CT19" i="28"/>
  <c r="CO19" i="28"/>
  <c r="CJ19" i="28"/>
  <c r="BH19" i="28"/>
  <c r="BC19" i="28"/>
  <c r="AX19" i="28"/>
  <c r="AE19" i="28"/>
  <c r="AB19" i="28"/>
  <c r="Z19" i="28"/>
  <c r="L19" i="28"/>
  <c r="G19" i="28"/>
  <c r="BQ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DR16" i="25"/>
  <c r="DQ16" i="25"/>
  <c r="CF16" i="25"/>
  <c r="CD16" i="25"/>
  <c r="AS16" i="25"/>
  <c r="AR16" i="25"/>
  <c r="F16" i="25"/>
  <c r="EF17" i="25"/>
  <c r="CV17" i="25"/>
  <c r="CA17" i="25"/>
  <c r="AY17" i="25"/>
  <c r="X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B19" i="25"/>
  <c r="DZ19" i="25"/>
  <c r="DY19" i="25"/>
  <c r="DR19" i="25"/>
  <c r="DQ19" i="25"/>
  <c r="DP19" i="25"/>
  <c r="DH19" i="25"/>
  <c r="DG19" i="25"/>
  <c r="DF19" i="25"/>
  <c r="CY19" i="25"/>
  <c r="CX19" i="25"/>
  <c r="CV19" i="25"/>
  <c r="CO19" i="25"/>
  <c r="CN19" i="25"/>
  <c r="CM19" i="25"/>
  <c r="CF19" i="25"/>
  <c r="CD19" i="25"/>
  <c r="CC19" i="25"/>
  <c r="BV19" i="25"/>
  <c r="BU19" i="25"/>
  <c r="BT19" i="25"/>
  <c r="BL19" i="25"/>
  <c r="BK19" i="25"/>
  <c r="BJ19" i="25"/>
  <c r="BC19" i="25"/>
  <c r="BB19" i="25"/>
  <c r="AZ19" i="25"/>
  <c r="AS19" i="25"/>
  <c r="AR19" i="25"/>
  <c r="AQ19" i="25"/>
  <c r="AJ19" i="25"/>
  <c r="AH19" i="25"/>
  <c r="AG19" i="25"/>
  <c r="Z19" i="25"/>
  <c r="Y19" i="25"/>
  <c r="X19" i="25"/>
  <c r="P19" i="25"/>
  <c r="O19" i="25"/>
  <c r="N19" i="25"/>
  <c r="F19" i="25"/>
  <c r="DV20" i="25"/>
  <c r="DN20" i="25"/>
  <c r="CT20" i="25"/>
  <c r="CS20" i="25"/>
  <c r="BR20" i="25"/>
  <c r="BQ20" i="25"/>
  <c r="AW20" i="25"/>
  <c r="AP20" i="25"/>
  <c r="U20" i="25"/>
  <c r="T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8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CD19" i="10"/>
  <c r="L20" i="32" s="1"/>
  <c r="BS18" i="10"/>
  <c r="CD18" i="10"/>
  <c r="L19" i="32" s="1"/>
  <c r="AV18" i="10"/>
  <c r="I19" i="12" s="1"/>
  <c r="BJ17" i="10"/>
  <c r="BS17" i="10"/>
  <c r="CD17" i="10"/>
  <c r="L18" i="32" s="1"/>
  <c r="AV17" i="10"/>
  <c r="AM17" i="10"/>
  <c r="H18" i="12" s="1"/>
  <c r="AA17" i="10"/>
  <c r="R17" i="10"/>
  <c r="BS15" i="10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BT48" i="10"/>
  <c r="L49" i="12" s="1"/>
  <c r="CO48" i="10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M20" i="32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AV17" i="28" l="1"/>
  <c r="AE17" i="25"/>
  <c r="AZ17" i="25"/>
  <c r="CB17" i="25"/>
  <c r="DD17" i="25"/>
  <c r="D20" i="30"/>
  <c r="E20" i="30" s="1"/>
  <c r="DW20" i="28"/>
  <c r="AX20" i="28"/>
  <c r="ED20" i="25"/>
  <c r="DT20" i="25"/>
  <c r="DK20" i="25"/>
  <c r="DA20" i="25"/>
  <c r="CR20" i="25"/>
  <c r="CH20" i="25"/>
  <c r="BX20" i="25"/>
  <c r="BO20" i="25"/>
  <c r="BE20" i="25"/>
  <c r="AV20" i="25"/>
  <c r="AL20" i="25"/>
  <c r="AB20" i="25"/>
  <c r="S20" i="25"/>
  <c r="H20" i="25"/>
  <c r="AV19" i="10"/>
  <c r="I20" i="12" s="1"/>
  <c r="DM20" i="28"/>
  <c r="AN20" i="28"/>
  <c r="EC20" i="25"/>
  <c r="DS20" i="25"/>
  <c r="DJ20" i="25"/>
  <c r="CZ20" i="25"/>
  <c r="CP20" i="25"/>
  <c r="CG20" i="25"/>
  <c r="BW20" i="25"/>
  <c r="BN20" i="25"/>
  <c r="BD20" i="25"/>
  <c r="AT20" i="25"/>
  <c r="AK20" i="25"/>
  <c r="AA20" i="25"/>
  <c r="R20" i="25"/>
  <c r="G20" i="25"/>
  <c r="AM19" i="10"/>
  <c r="H20" i="12" s="1"/>
  <c r="DD20" i="28"/>
  <c r="AE20" i="28"/>
  <c r="EB20" i="25"/>
  <c r="DR20" i="25"/>
  <c r="DH20" i="25"/>
  <c r="CY20" i="25"/>
  <c r="CO20" i="25"/>
  <c r="CF20" i="25"/>
  <c r="BV20" i="25"/>
  <c r="BL20" i="25"/>
  <c r="BC20" i="25"/>
  <c r="AS20" i="25"/>
  <c r="AJ20" i="25"/>
  <c r="Z20" i="25"/>
  <c r="P20" i="25"/>
  <c r="F20" i="25"/>
  <c r="AA19" i="10"/>
  <c r="G20" i="12" s="1"/>
  <c r="CA20" i="28"/>
  <c r="CT20" i="28"/>
  <c r="U20" i="28"/>
  <c r="DZ20" i="25"/>
  <c r="DQ20" i="25"/>
  <c r="DG20" i="25"/>
  <c r="CX20" i="25"/>
  <c r="CN20" i="25"/>
  <c r="CD20" i="25"/>
  <c r="BU20" i="25"/>
  <c r="BK20" i="25"/>
  <c r="BB20" i="25"/>
  <c r="AR20" i="25"/>
  <c r="AH20" i="25"/>
  <c r="Y20" i="25"/>
  <c r="O20" i="25"/>
  <c r="EF20" i="28"/>
  <c r="R19" i="10"/>
  <c r="F20" i="12" s="1"/>
  <c r="CJ20" i="28"/>
  <c r="L20" i="28"/>
  <c r="DY20" i="25"/>
  <c r="DP20" i="25"/>
  <c r="DF20" i="25"/>
  <c r="CV20" i="25"/>
  <c r="CM20" i="25"/>
  <c r="CC20" i="25"/>
  <c r="BT20" i="25"/>
  <c r="BJ20" i="25"/>
  <c r="AZ20" i="25"/>
  <c r="AQ20" i="25"/>
  <c r="AG20" i="25"/>
  <c r="X20" i="25"/>
  <c r="N20" i="25"/>
  <c r="CN19" i="10"/>
  <c r="M20" i="12" s="1"/>
  <c r="AX17" i="28"/>
  <c r="CT16" i="28"/>
  <c r="DY16" i="25"/>
  <c r="DP16" i="25"/>
  <c r="DF16" i="25"/>
  <c r="CV16" i="25"/>
  <c r="CM16" i="25"/>
  <c r="CC16" i="25"/>
  <c r="BT16" i="25"/>
  <c r="BJ16" i="25"/>
  <c r="AZ16" i="25"/>
  <c r="AQ16" i="25"/>
  <c r="AG16" i="25"/>
  <c r="X16" i="25"/>
  <c r="N16" i="25"/>
  <c r="E16" i="32"/>
  <c r="CZ16" i="25"/>
  <c r="BW16" i="25"/>
  <c r="BN16" i="25"/>
  <c r="AA16" i="25"/>
  <c r="DX16" i="25"/>
  <c r="DN16" i="25"/>
  <c r="DE16" i="25"/>
  <c r="CU16" i="25"/>
  <c r="CL16" i="25"/>
  <c r="CB16" i="25"/>
  <c r="BR16" i="25"/>
  <c r="BI16" i="25"/>
  <c r="AY16" i="25"/>
  <c r="AP16" i="25"/>
  <c r="AF16" i="25"/>
  <c r="V16" i="25"/>
  <c r="M16" i="25"/>
  <c r="EF16" i="25"/>
  <c r="DW16" i="25"/>
  <c r="DM16" i="25"/>
  <c r="DD16" i="25"/>
  <c r="CT16" i="25"/>
  <c r="CJ16" i="25"/>
  <c r="CA16" i="25"/>
  <c r="BQ16" i="25"/>
  <c r="BH16" i="25"/>
  <c r="AX16" i="25"/>
  <c r="AN16" i="25"/>
  <c r="AE16" i="25"/>
  <c r="U16" i="25"/>
  <c r="L16" i="25"/>
  <c r="E15" i="10"/>
  <c r="DS16" i="25"/>
  <c r="CG16" i="25"/>
  <c r="BD16" i="25"/>
  <c r="R16" i="25"/>
  <c r="EE16" i="25"/>
  <c r="DV16" i="25"/>
  <c r="DL16" i="25"/>
  <c r="DB16" i="25"/>
  <c r="CS16" i="25"/>
  <c r="CI16" i="25"/>
  <c r="BZ16" i="25"/>
  <c r="BP16" i="25"/>
  <c r="BF16" i="25"/>
  <c r="AW16" i="25"/>
  <c r="AM16" i="25"/>
  <c r="AD16" i="25"/>
  <c r="T16" i="25"/>
  <c r="J16" i="25"/>
  <c r="E16" i="12"/>
  <c r="AK16" i="25"/>
  <c r="ED16" i="25"/>
  <c r="DT16" i="25"/>
  <c r="DK16" i="25"/>
  <c r="DA16" i="25"/>
  <c r="CR16" i="25"/>
  <c r="CH16" i="25"/>
  <c r="BX16" i="25"/>
  <c r="BO16" i="25"/>
  <c r="BE16" i="25"/>
  <c r="AV16" i="25"/>
  <c r="AL16" i="25"/>
  <c r="AB16" i="25"/>
  <c r="S16" i="25"/>
  <c r="H16" i="25"/>
  <c r="D16" i="30"/>
  <c r="E16" i="30" s="1"/>
  <c r="EC16" i="25"/>
  <c r="DJ16" i="25"/>
  <c r="CP16" i="25"/>
  <c r="AT16" i="25"/>
  <c r="G16" i="25"/>
  <c r="V20" i="25"/>
  <c r="AX20" i="25"/>
  <c r="BZ20" i="25"/>
  <c r="CU20" i="25"/>
  <c r="DW20" i="25"/>
  <c r="AF17" i="25"/>
  <c r="BH17" i="25"/>
  <c r="CC17" i="25"/>
  <c r="DE17" i="25"/>
  <c r="O16" i="25"/>
  <c r="BB16" i="25"/>
  <c r="CN16" i="25"/>
  <c r="DZ16" i="25"/>
  <c r="BO17" i="28"/>
  <c r="CJ17" i="25"/>
  <c r="CO16" i="25"/>
  <c r="I18" i="12"/>
  <c r="K18" i="34"/>
  <c r="AE20" i="25"/>
  <c r="BF20" i="25"/>
  <c r="CB20" i="25"/>
  <c r="DD20" i="25"/>
  <c r="EE20" i="25"/>
  <c r="M17" i="25"/>
  <c r="AN17" i="25"/>
  <c r="BJ17" i="25"/>
  <c r="CL17" i="25"/>
  <c r="DM17" i="25"/>
  <c r="Y16" i="25"/>
  <c r="BK16" i="25"/>
  <c r="CX16" i="25"/>
  <c r="H17" i="28"/>
  <c r="CH17" i="28"/>
  <c r="AY20" i="25"/>
  <c r="BI17" i="25"/>
  <c r="EB16" i="25"/>
  <c r="J20" i="25"/>
  <c r="AF20" i="25"/>
  <c r="BH20" i="25"/>
  <c r="CI20" i="25"/>
  <c r="DE20" i="25"/>
  <c r="EF20" i="25"/>
  <c r="N17" i="25"/>
  <c r="AP17" i="25"/>
  <c r="BQ17" i="25"/>
  <c r="CM17" i="25"/>
  <c r="DN17" i="25"/>
  <c r="Z16" i="25"/>
  <c r="BL16" i="25"/>
  <c r="L17" i="28"/>
  <c r="CJ17" i="28"/>
  <c r="AD20" i="25"/>
  <c r="DB20" i="25"/>
  <c r="AG17" i="25"/>
  <c r="P16" i="25"/>
  <c r="BS19" i="10"/>
  <c r="CY16" i="25"/>
  <c r="AA15" i="10"/>
  <c r="G16" i="12" s="1"/>
  <c r="L20" i="25"/>
  <c r="AM20" i="25"/>
  <c r="BI20" i="25"/>
  <c r="CJ20" i="25"/>
  <c r="DL20" i="25"/>
  <c r="U17" i="25"/>
  <c r="AQ17" i="25"/>
  <c r="BR17" i="25"/>
  <c r="CT17" i="25"/>
  <c r="DW17" i="25"/>
  <c r="AH16" i="25"/>
  <c r="BU16" i="25"/>
  <c r="DG16" i="25"/>
  <c r="AB17" i="28"/>
  <c r="D17" i="30"/>
  <c r="E17" i="30" s="1"/>
  <c r="DR17" i="28"/>
  <c r="CY17" i="28"/>
  <c r="CF17" i="28"/>
  <c r="BL17" i="28"/>
  <c r="AS17" i="28"/>
  <c r="Z17" i="28"/>
  <c r="F17" i="28"/>
  <c r="EE17" i="25"/>
  <c r="DV17" i="25"/>
  <c r="DL17" i="25"/>
  <c r="DB17" i="25"/>
  <c r="CS17" i="25"/>
  <c r="CI17" i="25"/>
  <c r="BZ17" i="25"/>
  <c r="BP17" i="25"/>
  <c r="BF17" i="25"/>
  <c r="AW17" i="25"/>
  <c r="AM17" i="25"/>
  <c r="AD17" i="25"/>
  <c r="T17" i="25"/>
  <c r="J17" i="25"/>
  <c r="EF17" i="28"/>
  <c r="DY17" i="25"/>
  <c r="DP17" i="28"/>
  <c r="CV17" i="28"/>
  <c r="CC17" i="28"/>
  <c r="BJ17" i="28"/>
  <c r="AQ17" i="28"/>
  <c r="X17" i="28"/>
  <c r="ED17" i="25"/>
  <c r="DT17" i="25"/>
  <c r="DK17" i="25"/>
  <c r="DA17" i="25"/>
  <c r="CR17" i="25"/>
  <c r="CH17" i="25"/>
  <c r="BX17" i="25"/>
  <c r="BO17" i="25"/>
  <c r="BE17" i="25"/>
  <c r="AV17" i="25"/>
  <c r="AL17" i="25"/>
  <c r="AB17" i="25"/>
  <c r="S17" i="25"/>
  <c r="H17" i="25"/>
  <c r="DM17" i="28"/>
  <c r="CT17" i="28"/>
  <c r="CA17" i="28"/>
  <c r="BH17" i="28"/>
  <c r="AN17" i="28"/>
  <c r="U17" i="28"/>
  <c r="EC17" i="25"/>
  <c r="DS17" i="25"/>
  <c r="DJ17" i="25"/>
  <c r="CZ17" i="25"/>
  <c r="CP17" i="25"/>
  <c r="CG17" i="25"/>
  <c r="BW17" i="25"/>
  <c r="BN17" i="25"/>
  <c r="BD17" i="25"/>
  <c r="AT17" i="25"/>
  <c r="AK17" i="25"/>
  <c r="AA17" i="25"/>
  <c r="R17" i="25"/>
  <c r="G17" i="25"/>
  <c r="BS16" i="10"/>
  <c r="CM17" i="28"/>
  <c r="BT17" i="28"/>
  <c r="AG17" i="28"/>
  <c r="DK17" i="28"/>
  <c r="CR17" i="28"/>
  <c r="BX17" i="28"/>
  <c r="BE17" i="28"/>
  <c r="AL17" i="28"/>
  <c r="S17" i="28"/>
  <c r="EB17" i="25"/>
  <c r="DR17" i="25"/>
  <c r="DH17" i="25"/>
  <c r="CY17" i="25"/>
  <c r="CO17" i="25"/>
  <c r="CF17" i="25"/>
  <c r="BV17" i="25"/>
  <c r="BL17" i="25"/>
  <c r="BC17" i="25"/>
  <c r="AS17" i="25"/>
  <c r="AJ17" i="25"/>
  <c r="Z17" i="25"/>
  <c r="P17" i="25"/>
  <c r="F17" i="25"/>
  <c r="AV16" i="10"/>
  <c r="I17" i="12" s="1"/>
  <c r="DF17" i="28"/>
  <c r="AZ17" i="28"/>
  <c r="N17" i="28"/>
  <c r="DP17" i="25"/>
  <c r="DH17" i="28"/>
  <c r="CO17" i="28"/>
  <c r="BV17" i="28"/>
  <c r="BC17" i="28"/>
  <c r="AJ17" i="28"/>
  <c r="P17" i="28"/>
  <c r="DZ17" i="25"/>
  <c r="DQ17" i="25"/>
  <c r="DG17" i="25"/>
  <c r="CX17" i="25"/>
  <c r="CN17" i="25"/>
  <c r="CD17" i="25"/>
  <c r="BU17" i="25"/>
  <c r="BK17" i="25"/>
  <c r="BB17" i="25"/>
  <c r="AR17" i="25"/>
  <c r="AH17" i="25"/>
  <c r="Y17" i="25"/>
  <c r="O17" i="25"/>
  <c r="AA16" i="10"/>
  <c r="G17" i="12" s="1"/>
  <c r="CA20" i="25"/>
  <c r="DX20" i="25"/>
  <c r="L17" i="25"/>
  <c r="DF17" i="25"/>
  <c r="BC16" i="25"/>
  <c r="BQ17" i="28"/>
  <c r="AF20" i="31"/>
  <c r="AD20" i="31"/>
  <c r="AE20" i="31"/>
  <c r="S19" i="32" s="1"/>
  <c r="BJ19" i="10"/>
  <c r="BR19" i="10" s="1"/>
  <c r="AV15" i="10"/>
  <c r="I16" i="12" s="1"/>
  <c r="M20" i="25"/>
  <c r="AN20" i="25"/>
  <c r="BP20" i="25"/>
  <c r="CL20" i="25"/>
  <c r="DM20" i="25"/>
  <c r="V17" i="25"/>
  <c r="AX17" i="25"/>
  <c r="BT17" i="25"/>
  <c r="CU17" i="25"/>
  <c r="DX17" i="25"/>
  <c r="AJ16" i="25"/>
  <c r="BV16" i="25"/>
  <c r="DH16" i="25"/>
  <c r="BH20" i="28"/>
  <c r="AE17" i="28"/>
  <c r="DD17" i="28"/>
  <c r="E19" i="12"/>
  <c r="BJ18" i="10"/>
  <c r="G19" i="25"/>
  <c r="R19" i="25"/>
  <c r="AA19" i="25"/>
  <c r="AK19" i="25"/>
  <c r="AT19" i="25"/>
  <c r="BD19" i="25"/>
  <c r="BN19" i="25"/>
  <c r="BW19" i="25"/>
  <c r="CG19" i="25"/>
  <c r="CP19" i="25"/>
  <c r="CZ19" i="25"/>
  <c r="DJ19" i="25"/>
  <c r="DS19" i="25"/>
  <c r="EC19" i="25"/>
  <c r="N19" i="28"/>
  <c r="AG19" i="28"/>
  <c r="BL19" i="28"/>
  <c r="D19" i="25"/>
  <c r="E19" i="25" s="1"/>
  <c r="BR17" i="10"/>
  <c r="L18" i="34"/>
  <c r="H19" i="25"/>
  <c r="S19" i="25"/>
  <c r="AB19" i="25"/>
  <c r="AL19" i="25"/>
  <c r="AV19" i="25"/>
  <c r="BE19" i="25"/>
  <c r="BO19" i="25"/>
  <c r="BX19" i="25"/>
  <c r="CH19" i="25"/>
  <c r="CR19" i="25"/>
  <c r="DA19" i="25"/>
  <c r="DK19" i="25"/>
  <c r="DT19" i="25"/>
  <c r="ED19" i="25"/>
  <c r="P19" i="28"/>
  <c r="AJ19" i="28"/>
  <c r="BQ19" i="28"/>
  <c r="DD19" i="28"/>
  <c r="D17" i="21"/>
  <c r="R18" i="10"/>
  <c r="F19" i="12" s="1"/>
  <c r="EF19" i="28"/>
  <c r="J19" i="25"/>
  <c r="T19" i="25"/>
  <c r="AD19" i="25"/>
  <c r="AM19" i="25"/>
  <c r="AW19" i="25"/>
  <c r="BF19" i="25"/>
  <c r="BP19" i="25"/>
  <c r="BZ19" i="25"/>
  <c r="CI19" i="25"/>
  <c r="CS19" i="25"/>
  <c r="DB19" i="25"/>
  <c r="DL19" i="25"/>
  <c r="DV19" i="25"/>
  <c r="EE19" i="25"/>
  <c r="S19" i="28"/>
  <c r="AL19" i="28"/>
  <c r="BV19" i="28"/>
  <c r="DH19" i="28"/>
  <c r="F18" i="12"/>
  <c r="J18" i="34"/>
  <c r="AA18" i="10"/>
  <c r="G19" i="12" s="1"/>
  <c r="L19" i="25"/>
  <c r="U19" i="25"/>
  <c r="AE19" i="25"/>
  <c r="AN19" i="25"/>
  <c r="AX19" i="25"/>
  <c r="BH19" i="25"/>
  <c r="BQ19" i="25"/>
  <c r="CA19" i="25"/>
  <c r="CJ19" i="25"/>
  <c r="CT19" i="25"/>
  <c r="DD19" i="25"/>
  <c r="DM19" i="25"/>
  <c r="DW19" i="25"/>
  <c r="EF19" i="25"/>
  <c r="X15" i="25"/>
  <c r="U19" i="28"/>
  <c r="AN19" i="28"/>
  <c r="CA19" i="28"/>
  <c r="DM19" i="28"/>
  <c r="CN18" i="10"/>
  <c r="M19" i="12" s="1"/>
  <c r="AM18" i="10"/>
  <c r="M19" i="25"/>
  <c r="V19" i="25"/>
  <c r="AF19" i="25"/>
  <c r="AP19" i="25"/>
  <c r="AY19" i="25"/>
  <c r="BI19" i="25"/>
  <c r="BR19" i="25"/>
  <c r="CB19" i="25"/>
  <c r="CL19" i="25"/>
  <c r="CU19" i="25"/>
  <c r="DE19" i="25"/>
  <c r="DN19" i="25"/>
  <c r="DX19" i="25"/>
  <c r="CV15" i="25"/>
  <c r="X19" i="28"/>
  <c r="AS19" i="28"/>
  <c r="CF19" i="28"/>
  <c r="DR19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K15" i="32" s="1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25" i="32"/>
  <c r="G26" i="33"/>
  <c r="G35" i="32"/>
  <c r="G36" i="33"/>
  <c r="F48" i="32"/>
  <c r="F49" i="33"/>
  <c r="F37" i="32"/>
  <c r="F38" i="33"/>
  <c r="G34" i="32"/>
  <c r="G35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K8" i="32"/>
  <c r="K14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E50" i="24"/>
  <c r="E46" i="24"/>
  <c r="O44" i="32"/>
  <c r="O40" i="12"/>
  <c r="O36" i="32"/>
  <c r="O32" i="32"/>
  <c r="O28" i="32"/>
  <c r="O23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BR18" i="10"/>
  <c r="O48" i="32"/>
  <c r="T38" i="12"/>
  <c r="N48" i="32"/>
  <c r="BR24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P20" i="12" l="1"/>
  <c r="P18" i="12"/>
  <c r="AB18" i="10"/>
  <c r="F19" i="34" s="1"/>
  <c r="CP19" i="10"/>
  <c r="AF18" i="31"/>
  <c r="T17" i="32" s="1"/>
  <c r="AD18" i="31"/>
  <c r="R17" i="32" s="1"/>
  <c r="AE18" i="31"/>
  <c r="S17" i="12" s="1"/>
  <c r="AD21" i="31"/>
  <c r="R20" i="12" s="1"/>
  <c r="AE21" i="31"/>
  <c r="AF21" i="31"/>
  <c r="BT19" i="10"/>
  <c r="L20" i="12" s="1"/>
  <c r="H19" i="12"/>
  <c r="P19" i="12" s="1"/>
  <c r="AW18" i="10"/>
  <c r="AX19" i="10"/>
  <c r="I18" i="34"/>
  <c r="I19" i="33"/>
  <c r="AD19" i="31"/>
  <c r="R18" i="12" s="1"/>
  <c r="AE19" i="31"/>
  <c r="AF19" i="31"/>
  <c r="J19" i="32"/>
  <c r="CT18" i="10"/>
  <c r="CQ18" i="10"/>
  <c r="CO18" i="10"/>
  <c r="AW19" i="10"/>
  <c r="J20" i="32"/>
  <c r="CO19" i="10"/>
  <c r="CQ19" i="10"/>
  <c r="CT19" i="10"/>
  <c r="AX18" i="10"/>
  <c r="F20" i="33"/>
  <c r="BT18" i="10"/>
  <c r="L19" i="12" s="1"/>
  <c r="AB19" i="10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8" i="12"/>
  <c r="R28" i="32"/>
  <c r="R33" i="32"/>
  <c r="R33" i="12"/>
  <c r="R56" i="32"/>
  <c r="R56" i="12"/>
  <c r="R24" i="32"/>
  <c r="R24" i="12"/>
  <c r="R40" i="32"/>
  <c r="R40" i="12"/>
  <c r="R44" i="32"/>
  <c r="R44" i="1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I7" i="28"/>
  <c r="EH7" i="28"/>
  <c r="R20" i="32" l="1"/>
  <c r="F17" i="21"/>
  <c r="R16" i="32"/>
  <c r="F19" i="32"/>
  <c r="T15" i="32"/>
  <c r="G20" i="34"/>
  <c r="G20" i="32"/>
  <c r="G21" i="33"/>
  <c r="R18" i="32"/>
  <c r="N19" i="12"/>
  <c r="N19" i="32"/>
  <c r="I20" i="34"/>
  <c r="I21" i="33"/>
  <c r="F20" i="34"/>
  <c r="F20" i="32"/>
  <c r="F21" i="33"/>
  <c r="I20" i="33"/>
  <c r="I19" i="34"/>
  <c r="Q19" i="34"/>
  <c r="O19" i="12"/>
  <c r="O19" i="32"/>
  <c r="E17" i="24"/>
  <c r="G19" i="34"/>
  <c r="G20" i="33"/>
  <c r="G19" i="32"/>
  <c r="EJ7" i="28"/>
  <c r="O20" i="32"/>
  <c r="Q20" i="34"/>
  <c r="O20" i="12"/>
  <c r="E18" i="24"/>
  <c r="N20" i="32"/>
  <c r="N20" i="12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V17" i="10" s="1"/>
  <c r="CW17" i="10" s="1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F17" i="10" l="1"/>
  <c r="M19" i="33" s="1"/>
  <c r="DL17" i="10"/>
  <c r="S19" i="33" s="1"/>
  <c r="DE17" i="10"/>
  <c r="L19" i="33" s="1"/>
  <c r="DO17" i="10"/>
  <c r="V19" i="33" s="1"/>
  <c r="DG17" i="10"/>
  <c r="N19" i="33" s="1"/>
  <c r="DD17" i="10"/>
  <c r="K19" i="33" s="1"/>
  <c r="DI17" i="10"/>
  <c r="DJ17" i="10"/>
  <c r="Q19" i="33" s="1"/>
  <c r="DP17" i="10"/>
  <c r="W19" i="33" s="1"/>
  <c r="DK17" i="10"/>
  <c r="R19" i="33" s="1"/>
  <c r="DM17" i="10"/>
  <c r="T19" i="33" s="1"/>
  <c r="DC17" i="10"/>
  <c r="DN17" i="10"/>
  <c r="U19" i="33" s="1"/>
  <c r="DI19" i="10"/>
  <c r="DE19" i="10"/>
  <c r="L21" i="33" s="1"/>
  <c r="DO19" i="10"/>
  <c r="V21" i="33" s="1"/>
  <c r="DJ19" i="10"/>
  <c r="Q21" i="33" s="1"/>
  <c r="DG19" i="10"/>
  <c r="N21" i="33" s="1"/>
  <c r="DK19" i="10"/>
  <c r="R21" i="33" s="1"/>
  <c r="DP19" i="10"/>
  <c r="W21" i="33" s="1"/>
  <c r="DL19" i="10"/>
  <c r="S21" i="33" s="1"/>
  <c r="DC19" i="10"/>
  <c r="DN19" i="10"/>
  <c r="U21" i="33" s="1"/>
  <c r="DF19" i="10"/>
  <c r="M21" i="33" s="1"/>
  <c r="DM19" i="10"/>
  <c r="T21" i="33" s="1"/>
  <c r="DD19" i="10"/>
  <c r="K21" i="33" s="1"/>
  <c r="DP18" i="10"/>
  <c r="W20" i="33" s="1"/>
  <c r="DJ18" i="10"/>
  <c r="Q20" i="33" s="1"/>
  <c r="DM18" i="10"/>
  <c r="T20" i="33" s="1"/>
  <c r="DI18" i="10"/>
  <c r="DN18" i="10"/>
  <c r="U20" i="33" s="1"/>
  <c r="DE18" i="10"/>
  <c r="L20" i="33" s="1"/>
  <c r="DK18" i="10"/>
  <c r="R20" i="33" s="1"/>
  <c r="DG18" i="10"/>
  <c r="N20" i="33" s="1"/>
  <c r="DO18" i="10"/>
  <c r="V20" i="33" s="1"/>
  <c r="DL18" i="10"/>
  <c r="S20" i="33" s="1"/>
  <c r="DD18" i="10"/>
  <c r="K20" i="33" s="1"/>
  <c r="DF18" i="10"/>
  <c r="M20" i="33" s="1"/>
  <c r="DC18" i="10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P20" i="33" l="1"/>
  <c r="DS18" i="10"/>
  <c r="J21" i="33"/>
  <c r="DH19" i="10"/>
  <c r="P21" i="33"/>
  <c r="DS19" i="10"/>
  <c r="J20" i="33"/>
  <c r="DH18" i="10"/>
  <c r="J19" i="33"/>
  <c r="DH17" i="10"/>
  <c r="P19" i="33"/>
  <c r="DS17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Z21" i="33" l="1"/>
  <c r="V20" i="32"/>
  <c r="V20" i="12"/>
  <c r="U20" i="34"/>
  <c r="U20" i="32"/>
  <c r="T20" i="34"/>
  <c r="O21" i="33"/>
  <c r="U20" i="12"/>
  <c r="U18" i="34"/>
  <c r="V18" i="12"/>
  <c r="V18" i="32"/>
  <c r="Z19" i="33"/>
  <c r="U19" i="32"/>
  <c r="U19" i="12"/>
  <c r="O20" i="33"/>
  <c r="T19" i="34"/>
  <c r="T18" i="34"/>
  <c r="O19" i="33"/>
  <c r="U18" i="12"/>
  <c r="U18" i="32"/>
  <c r="U19" i="34"/>
  <c r="Z20" i="33"/>
  <c r="V19" i="32"/>
  <c r="V19" i="1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A20" i="10"/>
  <c r="DA20" i="10" s="1"/>
  <c r="DA15" i="10" l="1"/>
  <c r="A16" i="10"/>
  <c r="L17" i="34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P17" i="12" l="1"/>
  <c r="Q10" i="12" s="1"/>
  <c r="AX72" i="10"/>
  <c r="I27" i="14" s="1"/>
  <c r="I18" i="33"/>
  <c r="I17" i="34"/>
  <c r="DA16" i="10"/>
  <c r="AZ16" i="10"/>
  <c r="A17" i="28"/>
  <c r="B18" i="31"/>
  <c r="G16" i="10"/>
  <c r="A15" i="21"/>
  <c r="B17" i="12"/>
  <c r="A17" i="25"/>
  <c r="B18" i="33"/>
  <c r="A17" i="10"/>
  <c r="A17" i="30"/>
  <c r="B17" i="34"/>
  <c r="B15" i="29"/>
  <c r="B17" i="32"/>
  <c r="B15" i="24"/>
  <c r="L13" i="34"/>
  <c r="H17" i="33"/>
  <c r="H16" i="34"/>
  <c r="B23" i="33"/>
  <c r="B22" i="34"/>
  <c r="G17" i="32"/>
  <c r="G18" i="33"/>
  <c r="F17" i="32"/>
  <c r="F18" i="33"/>
  <c r="Q8" i="12"/>
  <c r="Q19" i="12"/>
  <c r="Q14" i="12"/>
  <c r="Q17" i="12"/>
  <c r="Q18" i="12"/>
  <c r="Q15" i="12"/>
  <c r="Q16" i="12"/>
  <c r="Q12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I21" i="28"/>
  <c r="I21" i="25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Q11" i="12" l="1"/>
  <c r="Q7" i="12"/>
  <c r="Q9" i="12"/>
  <c r="DA17" i="10"/>
  <c r="A16" i="21"/>
  <c r="B18" i="32"/>
  <c r="B18" i="12"/>
  <c r="A18" i="28"/>
  <c r="B16" i="24"/>
  <c r="B19" i="31"/>
  <c r="B16" i="29"/>
  <c r="A18" i="30"/>
  <c r="G17" i="10"/>
  <c r="AZ17" i="10"/>
  <c r="B19" i="33"/>
  <c r="B18" i="34"/>
  <c r="A18" i="10"/>
  <c r="A18" i="25"/>
  <c r="I17" i="25"/>
  <c r="I17" i="28"/>
  <c r="Q13" i="12"/>
  <c r="Q20" i="12"/>
  <c r="L14" i="34"/>
  <c r="B24" i="33"/>
  <c r="B23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H21" i="25"/>
  <c r="EI21" i="25"/>
  <c r="I22" i="28"/>
  <c r="I22" i="25"/>
  <c r="EI21" i="28"/>
  <c r="EH21" i="28"/>
  <c r="EJ21" i="28"/>
  <c r="EH17" i="25" l="1"/>
  <c r="EI17" i="25"/>
  <c r="DA18" i="10"/>
  <c r="B20" i="33"/>
  <c r="B19" i="34"/>
  <c r="A19" i="30"/>
  <c r="AZ18" i="10"/>
  <c r="B20" i="31"/>
  <c r="A17" i="21"/>
  <c r="A19" i="25"/>
  <c r="B17" i="29"/>
  <c r="A19" i="10"/>
  <c r="B19" i="12"/>
  <c r="B19" i="32"/>
  <c r="A19" i="28"/>
  <c r="G18" i="10"/>
  <c r="B17" i="24"/>
  <c r="I18" i="28"/>
  <c r="I18" i="25"/>
  <c r="EI17" i="28"/>
  <c r="EH17" i="28"/>
  <c r="L15" i="34"/>
  <c r="AB27" i="33"/>
  <c r="S26" i="34"/>
  <c r="AB25" i="33"/>
  <c r="S24" i="34"/>
  <c r="AB24" i="33"/>
  <c r="S23" i="34"/>
  <c r="AB23" i="33"/>
  <c r="S22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23" i="32"/>
  <c r="Q21" i="32"/>
  <c r="CV16" i="10"/>
  <c r="CW16" i="10" s="1"/>
  <c r="EH22" i="28"/>
  <c r="EI22" i="28"/>
  <c r="EL21" i="28"/>
  <c r="Z21" i="12"/>
  <c r="Z21" i="32"/>
  <c r="H19" i="24"/>
  <c r="E19" i="29"/>
  <c r="H19" i="21"/>
  <c r="EM21" i="28"/>
  <c r="EI22" i="25"/>
  <c r="EH22" i="25"/>
  <c r="EJ21" i="25"/>
  <c r="X21" i="32"/>
  <c r="X21" i="12"/>
  <c r="I23" i="28"/>
  <c r="I23" i="25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DI16" i="10" l="1"/>
  <c r="DL16" i="10"/>
  <c r="S18" i="33" s="1"/>
  <c r="DG16" i="10"/>
  <c r="N18" i="33" s="1"/>
  <c r="DN16" i="10"/>
  <c r="U18" i="33" s="1"/>
  <c r="DM16" i="10"/>
  <c r="T18" i="33" s="1"/>
  <c r="DP16" i="10"/>
  <c r="W18" i="33" s="1"/>
  <c r="DE16" i="10"/>
  <c r="L18" i="33" s="1"/>
  <c r="DC16" i="10"/>
  <c r="DF16" i="10"/>
  <c r="M18" i="33" s="1"/>
  <c r="DO16" i="10"/>
  <c r="V18" i="33" s="1"/>
  <c r="DJ16" i="10"/>
  <c r="Q18" i="33" s="1"/>
  <c r="DK16" i="10"/>
  <c r="R18" i="33" s="1"/>
  <c r="DD16" i="10"/>
  <c r="K18" i="33" s="1"/>
  <c r="I19" i="28"/>
  <c r="I19" i="25"/>
  <c r="DA19" i="10"/>
  <c r="B21" i="33"/>
  <c r="B20" i="34"/>
  <c r="G19" i="10"/>
  <c r="B18" i="24"/>
  <c r="A18" i="21"/>
  <c r="A20" i="25"/>
  <c r="A20" i="30"/>
  <c r="AZ19" i="10"/>
  <c r="A20" i="28"/>
  <c r="B21" i="31"/>
  <c r="B20" i="12"/>
  <c r="B20" i="32"/>
  <c r="B18" i="29"/>
  <c r="EH18" i="25"/>
  <c r="EI18" i="25"/>
  <c r="EI18" i="28"/>
  <c r="EH18" i="28"/>
  <c r="EJ17" i="28"/>
  <c r="X17" i="12"/>
  <c r="EJ17" i="25"/>
  <c r="X17" i="32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EJ23" i="28"/>
  <c r="EH23" i="28"/>
  <c r="EI23" i="28"/>
  <c r="EI19" i="28" l="1"/>
  <c r="EH19" i="28"/>
  <c r="EH19" i="25"/>
  <c r="EI19" i="25"/>
  <c r="EJ19" i="28" s="1"/>
  <c r="J18" i="33"/>
  <c r="DH16" i="10"/>
  <c r="Y17" i="12"/>
  <c r="Y17" i="32"/>
  <c r="I20" i="28"/>
  <c r="I20" i="25"/>
  <c r="EJ18" i="28"/>
  <c r="EJ18" i="25"/>
  <c r="X18" i="32"/>
  <c r="X18" i="12"/>
  <c r="H15" i="24"/>
  <c r="Z17" i="32"/>
  <c r="E15" i="29"/>
  <c r="H15" i="21"/>
  <c r="EL17" i="28"/>
  <c r="EM17" i="28"/>
  <c r="Z17" i="12"/>
  <c r="P18" i="33"/>
  <c r="DS16" i="10"/>
  <c r="B27" i="33"/>
  <c r="B26" i="34"/>
  <c r="G15" i="21"/>
  <c r="F15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EI20" i="28" l="1"/>
  <c r="EH20" i="28"/>
  <c r="T17" i="34"/>
  <c r="O18" i="33"/>
  <c r="U17" i="12"/>
  <c r="U17" i="32"/>
  <c r="U17" i="34"/>
  <c r="V17" i="12"/>
  <c r="Z18" i="33"/>
  <c r="V17" i="32"/>
  <c r="AA17" i="32"/>
  <c r="AA17" i="12"/>
  <c r="EO17" i="28"/>
  <c r="I15" i="29" s="1"/>
  <c r="G15" i="29"/>
  <c r="EN17" i="28"/>
  <c r="H15" i="29" s="1"/>
  <c r="Y18" i="32"/>
  <c r="Y18" i="12"/>
  <c r="X19" i="32"/>
  <c r="EJ19" i="25"/>
  <c r="X19" i="12"/>
  <c r="EI20" i="25"/>
  <c r="EH20" i="25"/>
  <c r="H17" i="24"/>
  <c r="Z19" i="32"/>
  <c r="E17" i="29"/>
  <c r="EL19" i="28"/>
  <c r="Z19" i="12"/>
  <c r="H17" i="21"/>
  <c r="EM19" i="28"/>
  <c r="EL18" i="28"/>
  <c r="Z18" i="32"/>
  <c r="Z18" i="12"/>
  <c r="H16" i="24"/>
  <c r="EM18" i="28"/>
  <c r="E16" i="29"/>
  <c r="H16" i="21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AA18" i="32" l="1"/>
  <c r="AA18" i="12"/>
  <c r="EO19" i="28"/>
  <c r="I17" i="29" s="1"/>
  <c r="EN19" i="28"/>
  <c r="H17" i="29" s="1"/>
  <c r="G17" i="29"/>
  <c r="EJ20" i="25"/>
  <c r="X20" i="12"/>
  <c r="X20" i="32"/>
  <c r="I15" i="24"/>
  <c r="F15" i="29"/>
  <c r="I15" i="21"/>
  <c r="Y19" i="32"/>
  <c r="Y19" i="12"/>
  <c r="EN18" i="28"/>
  <c r="H16" i="29" s="1"/>
  <c r="G16" i="29"/>
  <c r="EO18" i="28"/>
  <c r="I16" i="29" s="1"/>
  <c r="AA19" i="12"/>
  <c r="AA19" i="32"/>
  <c r="EJ20" i="28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Y20" i="12" l="1"/>
  <c r="Y20" i="32"/>
  <c r="EL20" i="28"/>
  <c r="H18" i="24"/>
  <c r="Z20" i="12"/>
  <c r="Z20" i="32"/>
  <c r="H18" i="21"/>
  <c r="EM20" i="28"/>
  <c r="E18" i="29"/>
  <c r="F16" i="29"/>
  <c r="I16" i="24"/>
  <c r="I16" i="21"/>
  <c r="F17" i="29"/>
  <c r="I17" i="24"/>
  <c r="I17" i="21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EO20" i="28" l="1"/>
  <c r="I18" i="29" s="1"/>
  <c r="G18" i="29"/>
  <c r="EN20" i="28"/>
  <c r="H18" i="29" s="1"/>
  <c r="AA20" i="12"/>
  <c r="AA20" i="32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F18" i="29" l="1"/>
  <c r="I18" i="21"/>
  <c r="I18" i="24"/>
  <c r="B32" i="33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8" i="10" l="1"/>
  <c r="CX19" i="10"/>
  <c r="CX16" i="10"/>
  <c r="CX17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W18" i="12" l="1"/>
  <c r="G16" i="24" s="1"/>
  <c r="W18" i="32"/>
  <c r="CY17" i="10"/>
  <c r="W17" i="32"/>
  <c r="CY16" i="10"/>
  <c r="W17" i="12"/>
  <c r="G15" i="24" s="1"/>
  <c r="CY19" i="10"/>
  <c r="W20" i="12"/>
  <c r="G18" i="24" s="1"/>
  <c r="W20" i="32"/>
  <c r="W19" i="32"/>
  <c r="CY18" i="10"/>
  <c r="W19" i="12"/>
  <c r="G17" i="24" s="1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Q20" i="32" l="1"/>
  <c r="S20" i="34"/>
  <c r="AB21" i="33"/>
  <c r="S17" i="34"/>
  <c r="Q17" i="32"/>
  <c r="AB18" i="33"/>
  <c r="Q19" i="32"/>
  <c r="S19" i="34"/>
  <c r="AB20" i="33"/>
  <c r="S18" i="34"/>
  <c r="Q18" i="32"/>
  <c r="AB19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<sst xmlns="http://schemas.openxmlformats.org/spreadsheetml/2006/main" count="664" uniqueCount="432">
  <si>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</si>
  <si>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</si>
  <si>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</si>
  <si>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</si>
  <si>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</si>
  <si>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</si>
  <si>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</si>
  <si>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</si>
  <si>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</si>
  <si>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</si>
  <si>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</si>
  <si>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</si>
  <si>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</si>
  <si>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</si>
  <si>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</si>
  <si>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</si>
  <si>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</si>
  <si>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</si>
  <si>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</si>
  <si>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</si>
  <si>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</si>
  <si>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</si>
  <si>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</si>
  <si>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</si>
  <si>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</si>
  <si>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</si>
  <si>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</si>
  <si>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</si>
  <si>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</si>
  <si>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</si>
  <si>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</si>
  <si>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</si>
  <si>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</si>
  <si>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</si>
  <si>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</si>
  <si>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</si>
  <si>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</si>
  <si>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</si>
  <si>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</si>
  <si>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</si>
  <si>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</si>
  <si>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</si>
  <si>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</si>
  <si>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</si>
  <si>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</si>
  <si>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</si>
  <si>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</si>
  <si>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</si>
  <si>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</si>
  <si>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</si>
  <si>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</si>
  <si>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</si>
  <si>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</si>
  <si>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</si>
  <si>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</si>
  <si>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</si>
  <si>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</si>
  <si>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</si>
  <si>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</si>
  <si>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</si>
  <si>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</si>
  <si>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</si>
  <si>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</si>
  <si>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</si>
  <si>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</si>
  <si>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</si>
  <si>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</si>
  <si>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</si>
  <si>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</si>
  <si>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</si>
  <si>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</si>
  <si>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</si>
  <si>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</si>
  <si>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</si>
  <si>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</si>
  <si>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</si>
  <si>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</si>
  <si>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</si>
  <si>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</si>
  <si>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</si>
  <si>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</si>
  <si>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</si>
  <si>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</si>
  <si>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</si>
  <si>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</si>
  <si>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</si>
  <si>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</si>
  <si>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</si>
  <si>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</si>
  <si>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</si>
  <si>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</si>
  <si>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</si>
  <si>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</si>
  <si>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</si>
  <si>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</si>
  <si>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</si>
  <si>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</si>
  <si>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</si>
  <si>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</si>
  <si>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</si>
  <si>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</si>
  <si>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</si>
  <si>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</si>
  <si>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</si>
  <si>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</si>
  <si>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</si>
  <si>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</si>
  <si>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</si>
  <si>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</si>
  <si>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</si>
  <si>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</si>
  <si>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</si>
  <si>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</si>
  <si>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</si>
  <si>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</si>
  <si>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</si>
  <si>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</si>
  <si>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</si>
  <si>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</si>
  <si>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</si>
  <si>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</si>
  <si>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</si>
  <si>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</si>
  <si>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</si>
  <si>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</si>
  <si>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</si>
  <si>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</si>
  <si>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</si>
  <si>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</si>
  <si>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</si>
  <si>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</si>
  <si>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</si>
  <si>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</si>
  <si>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</si>
  <si>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</si>
  <si>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</si>
  <si>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</si>
  <si>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</si>
  <si>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</si>
  <si>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</si>
  <si>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</si>
  <si>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</si>
  <si>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</si>
  <si>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</si>
  <si>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</si>
  <si>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</si>
  <si>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</si>
  <si>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</si>
  <si>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</si>
  <si>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</si>
  <si>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</si>
  <si>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</si>
  <si>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</si>
  <si>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</si>
  <si>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</si>
  <si>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</si>
  <si>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</si>
  <si>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</si>
  <si>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</si>
  <si>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</si>
  <si>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</si>
  <si>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</si>
  <si>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</si>
  <si>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</si>
  <si>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</si>
  <si>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</si>
  <si>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</si>
  <si>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</si>
  <si>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</si>
  <si>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</si>
  <si>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</si>
  <si>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</si>
  <si>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</si>
  <si>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</si>
  <si>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</si>
  <si>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</si>
  <si>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</si>
  <si>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</si>
  <si>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</si>
  <si>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</si>
  <si>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</si>
  <si>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</si>
  <si>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</si>
  <si>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</si>
  <si>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</si>
  <si>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</si>
  <si>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</si>
  <si>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</si>
  <si>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</si>
  <si>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</si>
  <si>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</si>
  <si>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</si>
  <si>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</si>
  <si>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</si>
  <si>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</si>
  <si>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</si>
  <si>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</si>
  <si>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</si>
  <si>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</si>
  <si>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</si>
  <si>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</si>
  <si>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</si>
  <si>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</si>
  <si>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</si>
  <si>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</si>
  <si>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</si>
  <si>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</si>
  <si>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</si>
  <si>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</si>
  <si>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</si>
  <si>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</si>
  <si>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</si>
  <si>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</si>
  <si>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</si>
  <si>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</si>
  <si>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</si>
  <si>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</si>
  <si>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</si>
  <si>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</si>
  <si>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</si>
  <si>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</si>
  <si>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</si>
  <si>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</si>
  <si>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</si>
  <si>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</si>
  <si>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</si>
  <si>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</si>
  <si>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</si>
  <si>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</si>
  <si>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</si>
  <si>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</si>
  <si>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</si>
  <si>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</si>
  <si>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</si>
  <si>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</si>
  <si>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</si>
  <si>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</si>
  <si>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</si>
  <si>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</si>
  <si>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</si>
  <si>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</si>
  <si>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</si>
  <si>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</si>
  <si>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</si>
  <si>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</si>
  <si>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</si>
  <si>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</si>
  <si>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</si>
  <si>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</si>
  <si>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</si>
  <si>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</si>
  <si>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</si>
  <si>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</si>
  <si>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</si>
  <si>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</si>
  <si>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</si>
  <si>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</si>
  <si>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</si>
  <si>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</si>
  <si>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</si>
  <si>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</si>
  <si>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</si>
  <si>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</si>
  <si>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</si>
  <si>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</si>
  <si>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</si>
  <si>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</si>
  <si>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</si>
  <si>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</si>
  <si>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</si>
  <si>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</si>
  <si>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</si>
  <si>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</si>
  <si>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</si>
  <si>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</si>
  <si>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</si>
  <si>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</si>
  <si>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</si>
  <si>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</si>
  <si>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</si>
  <si>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</si>
  <si>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</si>
  <si>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</si>
  <si>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</si>
  <si>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</si>
  <si>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</si>
  <si>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</si>
  <si>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</si>
  <si>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</si>
  <si>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</si>
  <si>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</si>
  <si>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</si>
  <si>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</si>
  <si>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</si>
  <si>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</si>
  <si>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</si>
  <si>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</si>
  <si>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</si>
  <si>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</si>
  <si>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</si>
  <si>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</si>
  <si>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</si>
  <si>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</si>
  <si>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</si>
  <si>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</si>
  <si>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</si>
  <si>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</si>
  <si>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</si>
  <si>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</si>
  <si>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</si>
  <si>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</si>
  <si>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</si>
  <si>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</si>
  <si>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</si>
  <si>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</si>
  <si>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</si>
  <si>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</si>
  <si>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</si>
  <si>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</si>
  <si>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</si>
  <si>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</si>
  <si>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</si>
  <si>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</si>
  <si>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</si>
  <si>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</si>
  <si>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</si>
  <si>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</si>
  <si>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</si>
  <si>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</si>
  <si>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</si>
  <si>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</si>
  <si>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</si>
  <si>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</si>
  <si>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</si>
  <si>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</si>
  <si>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</si>
  <si>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</si>
  <si>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</si>
  <si>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</si>
  <si>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</si>
  <si>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</si>
  <si>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</si>
  <si>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</si>
  <si>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</si>
  <si>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</si>
  <si>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</si>
  <si>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</si>
  <si>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</si>
  <si>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</si>
  <si>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</si>
  <si>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</si>
  <si>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</si>
  <si>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</si>
  <si>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</si>
  <si>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</si>
  <si>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</si>
  <si>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</si>
  <si>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</si>
  <si>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</si>
  <si>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</si>
  <si>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</si>
  <si>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</si>
  <si>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</si>
  <si>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</si>
  <si>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</si>
  <si>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</si>
  <si>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</si>
  <si>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</si>
  <si>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</si>
  <si>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</si>
  <si>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</si>
  <si>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</si>
  <si>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</si>
  <si>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</si>
  <si>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</si>
  <si>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</si>
  <si>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</si>
  <si>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</si>
  <si>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</si>
  <si>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</si>
  <si>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</si>
  <si>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</si>
  <si>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</si>
  <si>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</si>
  <si>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</si>
  <si>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</si>
  <si>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</si>
  <si>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</si>
  <si>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</si>
  <si>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</si>
  <si>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</si>
  <si>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</si>
  <si>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</si>
  <si>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</si>
  <si>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</si>
  <si>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3/2</t>
  </si>
  <si>
    <t>เด็กหญิง กรรณิการ์  สุวะเลิศ</t>
  </si>
  <si>
    <t>เด็กชาย ณัฐรัตน์  สุริยะทา</t>
  </si>
  <si>
    <t>เด็กชาย ตุลากาล  กาวิน</t>
  </si>
  <si>
    <t>เด็กชาย ธนบูรณ์  สุภาดี</t>
  </si>
  <si>
    <t>เด็กชาย พีรกร  บุญฉิม</t>
  </si>
  <si>
    <t>เด็กหญิง ภัทรวรรณ  ชาวิชัย</t>
  </si>
  <si>
    <t>เด็กหญิง ศลักษณ์พร  บุญมา</t>
  </si>
  <si>
    <t>เด็กชาย สิทธิชัย  สุขอ่วม</t>
  </si>
  <si>
    <t>สามเณร ซอยือเล  -</t>
  </si>
  <si>
    <t>สามเณร ตาเบโอ  -</t>
  </si>
  <si>
    <t>สามเณร เนาะหน่อโพ  -</t>
  </si>
  <si>
    <t>สามเณร ยะเพอ  -</t>
  </si>
  <si>
    <t>12392</t>
  </si>
  <si>
    <t>12399</t>
  </si>
  <si>
    <t>12401</t>
  </si>
  <si>
    <t>12402</t>
  </si>
  <si>
    <t>12407</t>
  </si>
  <si>
    <t>12408</t>
  </si>
  <si>
    <t>12415</t>
  </si>
  <si>
    <t>12416</t>
  </si>
  <si>
    <t>12752</t>
  </si>
  <si>
    <t>12755</t>
  </si>
  <si>
    <t>12756</t>
  </si>
  <si>
    <t>12757</t>
  </si>
  <si>
    <t>1528900036959</t>
  </si>
  <si>
    <t>1529902601557</t>
  </si>
  <si>
    <t>1529902614039</t>
  </si>
  <si>
    <t>1639500033201</t>
  </si>
  <si>
    <t>1529902591519</t>
  </si>
  <si>
    <t>1528900035561</t>
  </si>
  <si>
    <t>1528900037971</t>
  </si>
  <si>
    <t>1639900614910</t>
  </si>
  <si>
    <t>G655200001298</t>
  </si>
  <si>
    <t>G655200001280</t>
  </si>
  <si>
    <t>G655200001271</t>
  </si>
  <si>
    <t>G655200001301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</si>
</sst>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0" fontId="92" fillId="16" borderId="0" xfId="0" applyFont="1" applyFill="1" applyAlignment="1" applyProtection="1">
      <alignment horizontal="left" vertical="center" shrinkToFit="1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0" fontId="135" fillId="0" borderId="54" xfId="0" applyFont="1" applyBorder="1" applyAlignment="1">
      <alignment horizontal="center" vertical="center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48" xfId="0" applyFont="1" applyFill="1" applyBorder="1" applyAlignment="1" applyProtection="1">
      <alignment horizont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0" borderId="7" xfId="0" applyFont="1" applyBorder="1" applyAlignment="1" applyProtection="1">
      <alignment horizontal="center"/>
      <protection locked="0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view="pageBreakPreview" zoomScale="85" zoomScaleNormal="85" zoomScaleSheetLayoutView="85" workbookViewId="0">
      <pane ySplit="6" topLeftCell="A7" activePane="bottomLeft" state="frozen"/>
      <selection activeCell="K44" sqref="K44"/>
      <selection pane="bottomLeft" activeCell="E9" sqref="E9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61" t="s">
        <v>231</v>
      </c>
      <c r="C5" s="1361"/>
      <c r="D5" s="1361"/>
      <c r="E5" s="1361"/>
      <c r="F5" s="1361"/>
      <c r="G5" s="1361"/>
      <c r="H5" s="1361"/>
      <c r="I5" s="1361"/>
      <c r="J5" s="1361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60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60"/>
      <c r="D6" s="1360"/>
      <c r="E6" s="1360"/>
      <c r="F6" s="1360"/>
      <c r="G6" s="1360"/>
      <c r="H6" s="1360"/>
      <c r="I6" s="1360"/>
      <c r="J6" s="1360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73" t="s">
        <v>393</v>
      </c>
      <c r="F7" s="1373"/>
      <c r="G7" s="137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58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58"/>
      <c r="D8" s="716" t="s">
        <v>395</v>
      </c>
      <c r="E8" s="162"/>
      <c r="F8" s="1358" t="str">
        <f>IF(M11="","ครูที่ปรึกษา",M11)</f>
        <v>ครูที่ปรึกษา</v>
      </c>
      <c r="G8" s="1358"/>
      <c r="H8" s="1315" t="s">
        <v>238</v>
      </c>
      <c r="I8" s="1315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16"/>
      <c r="I9" s="1316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74" t="s">
        <v>375</v>
      </c>
      <c r="C10" s="1374"/>
      <c r="D10" s="1359" t="s">
        <v>381</v>
      </c>
      <c r="E10" s="1359"/>
      <c r="F10" s="1358" t="s">
        <v>281</v>
      </c>
      <c r="G10" s="1358"/>
      <c r="H10" s="1372" t="s">
        <v>236</v>
      </c>
      <c r="I10" s="1372"/>
      <c r="J10" s="137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71" t="s">
        <v>238</v>
      </c>
      <c r="G12" s="1371"/>
      <c r="H12" s="1371"/>
      <c r="I12" s="1371"/>
      <c r="J12" s="137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29" t="s">
        <v>0</v>
      </c>
      <c r="C13" s="1330"/>
      <c r="D13" s="1330"/>
      <c r="E13" s="1330"/>
      <c r="F13" s="1330"/>
      <c r="G13" s="1330"/>
      <c r="H13" s="1330"/>
      <c r="I13" s="1330"/>
      <c r="J13" s="1331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62" t="s">
        <v>19</v>
      </c>
      <c r="C14" s="1363"/>
      <c r="D14" s="1364"/>
      <c r="E14" s="1365" t="s">
        <v>243</v>
      </c>
      <c r="F14" s="1366"/>
      <c r="G14" s="1367"/>
      <c r="H14" s="1368" t="s">
        <v>1</v>
      </c>
      <c r="I14" s="1369"/>
      <c r="J14" s="1370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50">
        <f>IF(D10="กิจกรรมพัฒนาผู้เรียน","---",'ชื่อ-คะแนน'!DH60)</f>
        <v>3</v>
      </c>
      <c r="G16" s="1317">
        <f>IF($C$10="กิจกรรมพัฒนาผู้เรียน","---",IF(F$16=0,0,(100/SUM(F$16:F$22))*F16))</f>
        <v>25</v>
      </c>
      <c r="H16" s="1235" t="str">
        <f t="shared" ref="H16:H23" si="1">E16</f>
        <v>3</v>
      </c>
      <c r="I16" s="1350">
        <f>IF(G10="กิจกรรมพัฒนาผู้เรียน","---",'ชื่อ-คะแนน'!DS60)</f>
        <v>3</v>
      </c>
      <c r="J16" s="1317">
        <f>IF($C$10="กิจกรรมพัฒนาผู้เรียน","---",IF(I$16=0,0,(100/SUM(I$16:I$22))*I16))</f>
        <v>25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51"/>
      <c r="G17" s="1318"/>
      <c r="H17" s="1237" t="str">
        <f t="shared" si="1"/>
        <v>ดีเยี่ยม</v>
      </c>
      <c r="I17" s="1351"/>
      <c r="J17" s="1318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54">
        <f>IF('ชื่อ-คะแนน'!C6="","",IF(D10="กิจกรรมพัฒนาผู้เรียน","---",'ชื่อ-คะแนน'!DH61))</f>
        <v>6</v>
      </c>
      <c r="G18" s="1313">
        <f>IF($C$10="กิจกรรมพัฒนาผู้เรียน","---",IF(F$18=0,0,(100/SUM(F$16:F$22))*F18))</f>
        <v>50</v>
      </c>
      <c r="H18" s="1239" t="str">
        <f t="shared" si="1"/>
        <v>2</v>
      </c>
      <c r="I18" s="1354">
        <f>IF('ชื่อ-คะแนน'!F6="","",IF(G10="กิจกรรมพัฒนาผู้เรียน","---",'ชื่อ-คะแนน'!DS61))</f>
        <v>6</v>
      </c>
      <c r="J18" s="1313">
        <f>IF($C$10="กิจกรรมพัฒนาผู้เรียน","---",IF(I$18=0,0,(100/SUM(I$16:I$22))*I18))</f>
        <v>50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55"/>
      <c r="G19" s="1314"/>
      <c r="H19" s="1241" t="str">
        <f t="shared" si="1"/>
        <v>ดี</v>
      </c>
      <c r="I19" s="1355"/>
      <c r="J19" s="1314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50">
        <f>IF('ชื่อ-คะแนน'!C6="","",IF(D10="กิจกรรมพัฒนาผู้เรียน","---",'ชื่อ-คะแนน'!DH62))</f>
        <v>3</v>
      </c>
      <c r="G20" s="1317">
        <f>IF($C$10="กิจกรรมพัฒนาผู้เรียน","---",IF(F$20=0,0,(100/SUM(F$16:F$22))*F20))</f>
        <v>25</v>
      </c>
      <c r="H20" s="1242" t="str">
        <f t="shared" si="1"/>
        <v>1</v>
      </c>
      <c r="I20" s="1350">
        <f>IF('ชื่อ-คะแนน'!F6="","",IF(G10="กิจกรรมพัฒนาผู้เรียน","---",'ชื่อ-คะแนน'!DS62))</f>
        <v>3</v>
      </c>
      <c r="J20" s="1317">
        <f>IF($C$10="กิจกรรมพัฒนาผู้เรียน","---",IF(I$20=0,0,(100/SUM(I$16:I$22))*I20))</f>
        <v>25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51"/>
      <c r="G21" s="1318"/>
      <c r="H21" s="1244" t="str">
        <f t="shared" si="1"/>
        <v>ผ่านเกณฑ์ประเมิน</v>
      </c>
      <c r="I21" s="1351"/>
      <c r="J21" s="1318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52">
        <f>IF('ชื่อ-คะแนน'!C6="","",IF(D10="กิจกรรมพัฒนาผู้เรียน","---",'ชื่อ-คะแนน'!DH63))</f>
        <v>0</v>
      </c>
      <c r="G22" s="1319">
        <f>IF($C$10="กิจกรรมพัฒนาผู้เรียน","---",IF(F$22=0,0,(100/SUM(F$16:F$22))*F22))</f>
        <v>0</v>
      </c>
      <c r="H22" s="1246" t="str">
        <f t="shared" si="1"/>
        <v>0</v>
      </c>
      <c r="I22" s="1352">
        <f>IF('ชื่อ-คะแนน'!F6="","",IF(G10="กิจกรรมพัฒนาผู้เรียน","---",'ชื่อ-คะแนน'!DS63))</f>
        <v>0</v>
      </c>
      <c r="J22" s="1319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12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53"/>
      <c r="G23" s="1320"/>
      <c r="H23" s="1248" t="str">
        <f t="shared" si="1"/>
        <v>ควรปรับปรุง</v>
      </c>
      <c r="I23" s="1353"/>
      <c r="J23" s="1320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12</v>
      </c>
      <c r="G25" s="462"/>
      <c r="H25" s="480" t="s">
        <v>245</v>
      </c>
      <c r="I25" s="462">
        <f>IF('ชื่อ-คะแนน'!C6="","",'ชื่อ-คะแนน'!AX70)</f>
        <v>12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12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12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12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12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57" t="s">
        <v>368</v>
      </c>
      <c r="M28" s="1357"/>
      <c r="N28" s="1357"/>
      <c r="O28" s="1357"/>
      <c r="P28" s="1357"/>
      <c r="Q28" s="1357"/>
      <c r="R28" s="1357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08" t="s">
        <v>369</v>
      </c>
      <c r="M29" s="1308"/>
      <c r="N29" s="1308"/>
      <c r="O29" s="1356" t="s">
        <v>389</v>
      </c>
      <c r="P29" s="1356"/>
      <c r="Q29" s="1356"/>
      <c r="R29" s="1356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08" t="s">
        <v>370</v>
      </c>
      <c r="M30" s="1308"/>
      <c r="N30" s="1308"/>
      <c r="O30" s="1349" t="s">
        <v>390</v>
      </c>
      <c r="P30" s="1349"/>
      <c r="Q30" s="1349"/>
      <c r="R30" s="1349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2</v>
      </c>
      <c r="G31" s="463"/>
      <c r="H31" s="482"/>
      <c r="I31" s="483"/>
      <c r="J31" s="178"/>
      <c r="K31" s="168"/>
      <c r="L31" s="1308" t="s">
        <v>233</v>
      </c>
      <c r="M31" s="1308"/>
      <c r="N31" s="1308"/>
      <c r="O31" s="1307" t="s">
        <v>391</v>
      </c>
      <c r="P31" s="1307"/>
      <c r="Q31" s="1307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21" t="s">
        <v>255</v>
      </c>
      <c r="I32" s="1322"/>
      <c r="J32" s="1323"/>
      <c r="K32" s="168"/>
      <c r="L32" s="1308" t="s">
        <v>46</v>
      </c>
      <c r="M32" s="1308"/>
      <c r="N32" s="1308"/>
      <c r="O32" s="1307" t="s">
        <v>392</v>
      </c>
      <c r="P32" s="1307"/>
      <c r="Q32" s="1307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41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42"/>
      <c r="D33" s="1343"/>
      <c r="E33" s="1338" t="str">
        <f>"รวมนักเรียน = "&amp;C26&amp;" คน"</f>
        <v>รวมนักเรียน = 12 คน</v>
      </c>
      <c r="F33" s="1339"/>
      <c r="G33" s="1340"/>
      <c r="H33" s="1324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25"/>
      <c r="J33" s="1326"/>
      <c r="K33" s="168"/>
      <c r="L33" s="1308" t="s">
        <v>84</v>
      </c>
      <c r="M33" s="1308"/>
      <c r="N33" s="1308"/>
      <c r="O33" s="1307" t="s">
        <v>371</v>
      </c>
      <c r="P33" s="1307"/>
      <c r="Q33" s="1307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29" t="s">
        <v>6</v>
      </c>
      <c r="C34" s="1330"/>
      <c r="D34" s="1330"/>
      <c r="E34" s="1330"/>
      <c r="F34" s="1330"/>
      <c r="G34" s="1330"/>
      <c r="H34" s="1330"/>
      <c r="I34" s="1330"/>
      <c r="J34" s="1331"/>
      <c r="K34" s="152"/>
      <c r="L34" s="1306" t="str">
        <f>IF(R34="","หัวหน้า",R34&amp;B10)</f>
        <v>หัวหน้ากลุ่มสาระ</v>
      </c>
      <c r="M34" s="1306"/>
      <c r="N34" s="1306"/>
      <c r="O34" s="1307" t="s">
        <v>372</v>
      </c>
      <c r="P34" s="1307"/>
      <c r="Q34" s="1307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08" t="s">
        <v>374</v>
      </c>
      <c r="M35" s="1308"/>
      <c r="N35" s="1308"/>
      <c r="O35" s="1309" t="s">
        <v>394</v>
      </c>
      <c r="P35" s="1309"/>
      <c r="Q35" s="1309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5" t="str">
        <f>"("&amp;F12&amp;")"</f>
        <v>(นาย………………… ………...……..)</v>
      </c>
      <c r="C36" s="1346"/>
      <c r="D36" s="458"/>
      <c r="E36" s="181"/>
      <c r="F36" s="179"/>
      <c r="G36" s="179"/>
      <c r="H36" s="494"/>
      <c r="I36" s="179"/>
      <c r="J36" s="180"/>
      <c r="K36" s="152"/>
      <c r="L36" s="1308" t="s">
        <v>377</v>
      </c>
      <c r="M36" s="1308"/>
      <c r="N36" s="1308"/>
      <c r="O36" s="1310">
        <v>45061</v>
      </c>
      <c r="P36" s="1310"/>
      <c r="Q36" s="1312" t="s">
        <v>388</v>
      </c>
      <c r="R36" s="1312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11" t="s">
        <v>378</v>
      </c>
      <c r="M37" s="1311"/>
      <c r="N37" s="1311"/>
      <c r="O37" s="1305">
        <v>45229</v>
      </c>
      <c r="P37" s="1305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27" t="str">
        <f>"("&amp;O34&amp;")"</f>
        <v>(นายxxxxxx  xxxxxxxxx)</v>
      </c>
      <c r="C38" s="1328"/>
      <c r="D38" s="1328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27" t="str">
        <f>"("&amp;O33&amp;")"</f>
        <v>(นาย............................... วว)</v>
      </c>
      <c r="C40" s="1328"/>
      <c r="D40" s="1328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32" t="s">
        <v>284</v>
      </c>
      <c r="I42" s="1333"/>
      <c r="J42" s="1334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35" t="str">
        <f>"("&amp;O31&amp;")"</f>
        <v>(พระครูนิวิฐสุทธิการ)</v>
      </c>
      <c r="I43" s="1336"/>
      <c r="J43" s="133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35" t="str">
        <f>IF(L31="","ผู้อำนวยการ"&amp;O29,L31&amp;O29)</f>
        <v>ผู้อำนวยการโรงเรียนศักดิ์สุนันท์วิทยา</v>
      </c>
      <c r="I44" s="1336"/>
      <c r="J44" s="133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27" t="str">
        <f>"("&amp;O32&amp;")"</f>
        <v>(พระมหาวัชรปัฐน์ กาวิลหทัยสกุล)</v>
      </c>
      <c r="C45" s="1328"/>
      <c r="D45" s="1328"/>
      <c r="E45" s="185"/>
      <c r="F45" s="185"/>
      <c r="G45" s="185"/>
      <c r="H45" s="1335" t="str">
        <f>O35</f>
        <v>31 มีนาคม 2567</v>
      </c>
      <c r="I45" s="1336"/>
      <c r="J45" s="133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7"/>
      <c r="C46" s="1348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4" t="str">
        <f>IF('ชื่อ-คะแนน'!C6="","Last Update 13 เมษายน 2560","Copyright © by pornsak  wongsiri  V.13 (2560)")</f>
        <v>Copyright © by pornsak  wongsiri  V.13 (2560)</v>
      </c>
      <c r="D47" s="1344"/>
      <c r="E47" s="1344"/>
      <c r="F47" s="1344"/>
      <c r="G47" s="1344"/>
      <c r="H47" s="1344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C47:H47"/>
    <mergeCell ref="B36:C36"/>
    <mergeCell ref="B46:C46"/>
    <mergeCell ref="H44:J44"/>
    <mergeCell ref="H45:J45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L29:N29"/>
    <mergeCell ref="L30:N30"/>
    <mergeCell ref="J18:J19"/>
    <mergeCell ref="H8:I8"/>
    <mergeCell ref="H9:I9"/>
    <mergeCell ref="J20:J21"/>
    <mergeCell ref="J22:J23"/>
    <mergeCell ref="L31:N31"/>
    <mergeCell ref="O31:Q31"/>
    <mergeCell ref="L32:N32"/>
    <mergeCell ref="O32:Q32"/>
    <mergeCell ref="L33:N33"/>
    <mergeCell ref="O33:Q33"/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734" t="s">
        <v>49</v>
      </c>
      <c r="B1" s="1734"/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  <c r="N1" s="1734"/>
      <c r="O1" s="1734"/>
      <c r="P1" s="1734"/>
      <c r="Q1" s="1734"/>
      <c r="R1" s="1734"/>
      <c r="S1" s="1734"/>
      <c r="T1" s="1734"/>
    </row>
    <row r="2" spans="1:41" ht="25.5" x14ac:dyDescent="0.5">
      <c r="A2" s="174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P2" s="1749"/>
      <c r="Q2" s="1749"/>
      <c r="R2" s="1752" t="str">
        <f>IF('ชื่อ-คะแนน'!C6="","",ปก!E7)</f>
        <v>ปีการศึกษา 2566</v>
      </c>
      <c r="S2" s="1752"/>
      <c r="T2" s="1752"/>
    </row>
    <row r="3" spans="1:41" ht="27" thickBot="1" x14ac:dyDescent="0.6">
      <c r="A3" s="174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  <c r="T3" s="1746"/>
      <c r="U3" s="32" t="s">
        <v>74</v>
      </c>
    </row>
    <row r="4" spans="1:41" ht="23.25" customHeight="1" thickTop="1" thickBot="1" x14ac:dyDescent="0.6">
      <c r="A4" s="795" t="s">
        <v>50</v>
      </c>
      <c r="B4" s="1735" t="s">
        <v>51</v>
      </c>
      <c r="C4" s="1736"/>
      <c r="D4" s="1736"/>
      <c r="E4" s="1737"/>
      <c r="F4" s="1738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739"/>
      <c r="H4" s="1740"/>
      <c r="I4" s="1740"/>
      <c r="J4" s="1740"/>
      <c r="K4" s="1740"/>
      <c r="L4" s="1740"/>
      <c r="M4" s="1740"/>
      <c r="N4" s="1740"/>
      <c r="O4" s="1741"/>
      <c r="P4" s="1747" t="str">
        <f>IF(ปก!D10="กิจกรรมพัฒนาผู้เรียน","","ค่าเฉลี่ย")</f>
        <v>ค่าเฉลี่ย</v>
      </c>
      <c r="Q4" s="1719" t="str">
        <f>IF(ปก!D10="กิจกรรมพัฒนาผู้เรียน","","S.D.")</f>
        <v>S.D.</v>
      </c>
      <c r="R4" s="1742" t="s">
        <v>77</v>
      </c>
      <c r="S4" s="174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48"/>
      <c r="Q5" s="1720"/>
      <c r="R5" s="1744"/>
      <c r="S5" s="174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3/2</v>
      </c>
      <c r="B6" s="809">
        <f>IF('ชื่อ-คะแนน'!C6="","",SUM(F6:O6))</f>
        <v>12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12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12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50" t="str">
        <f>IF('ชื่อ-คะแนน'!C6="","",ปก!F12)</f>
        <v>นาย………………… ………...……..</v>
      </c>
      <c r="S6" s="175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25" t="str">
        <f>IF(X8="","",R6)</f>
        <v/>
      </c>
      <c r="S7" s="1726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25" t="str">
        <f>IF(Y8="","",R7)</f>
        <v/>
      </c>
      <c r="S8" s="1726"/>
      <c r="T8" s="826"/>
      <c r="U8" s="11"/>
      <c r="V8" s="37" t="s">
        <v>50</v>
      </c>
      <c r="W8" s="88" t="str">
        <f>IF('ชื่อ-คะแนน'!C6="","",ปก!D8)</f>
        <v>3/2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25" t="str">
        <f>IF(Z8="","",R8)</f>
        <v/>
      </c>
      <c r="S9" s="1726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25" t="str">
        <f>IF(AA8="","",R9)</f>
        <v/>
      </c>
      <c r="S10" s="1726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25" t="str">
        <f>IF(AB8="","",R10)</f>
        <v/>
      </c>
      <c r="S11" s="1726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25" t="str">
        <f>IF(AC8="","",R11)</f>
        <v/>
      </c>
      <c r="S12" s="1726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25" t="str">
        <f>IF(AD8="","",R12)</f>
        <v/>
      </c>
      <c r="S13" s="1726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25" t="str">
        <f>IF(AE8="","",R13)</f>
        <v/>
      </c>
      <c r="S14" s="1726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25" t="str">
        <f>IF(AF8="","",R14)</f>
        <v/>
      </c>
      <c r="S15" s="1726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25" t="str">
        <f>IF(AG8="","",R15)</f>
        <v/>
      </c>
      <c r="S16" s="1726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12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30" t="str">
        <f>IF(AH8="","",R16)</f>
        <v/>
      </c>
      <c r="S17" s="1731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12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12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12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08">
        <f>IF('ชื่อ-คะแนน'!C6="","",IF(ปก!D10="กิจกรรมพัฒนาผู้เรียน",F18+G18,E18))</f>
        <v>12</v>
      </c>
      <c r="Q18" s="1708"/>
      <c r="R18" s="1713">
        <f>IF('ชื่อ-คะแนน'!C6="","",IF(ปก!D10="กิจกรรมพัฒนาผู้เรียน","",((F18*4)+(G18*3.5)+(H18*3)+(I18*2.5)+(J18*2)+(K18*1.5)+L18)/P18))</f>
        <v>0</v>
      </c>
      <c r="S18" s="1732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13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7" t="s">
        <v>66</v>
      </c>
      <c r="B19" s="1728"/>
      <c r="C19" s="1728"/>
      <c r="D19" s="1728"/>
      <c r="E19" s="1729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15">
        <f>IF('ชื่อ-คะแนน'!C6="","",IF(ปก!D10="กิจกรรมพัฒนาผู้เรียน",F19+G19,SUM(F19:M19)))</f>
        <v>100</v>
      </c>
      <c r="Q19" s="1715"/>
      <c r="R19" s="1714"/>
      <c r="S19" s="1733"/>
      <c r="T19" s="1714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12" t="s">
        <v>16</v>
      </c>
      <c r="Q20" s="1712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3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3"/>
      <c r="C21" s="1723"/>
      <c r="D21" s="1723"/>
      <c r="E21" s="1723"/>
      <c r="F21" s="1723"/>
      <c r="G21" s="1723"/>
      <c r="H21" s="1723"/>
      <c r="I21" s="1723"/>
      <c r="J21" s="1723"/>
      <c r="K21" s="1723"/>
      <c r="L21" s="1723"/>
      <c r="M21" s="1723"/>
      <c r="N21" s="1723"/>
      <c r="O21" s="1723"/>
      <c r="P21" s="1724"/>
      <c r="Q21" s="1724"/>
      <c r="R21" s="1723"/>
      <c r="S21" s="1723"/>
      <c r="T21" s="1723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09" t="s">
        <v>63</v>
      </c>
      <c r="B32" s="1709"/>
      <c r="C32" s="1709"/>
      <c r="D32" s="1709"/>
      <c r="E32" s="1709"/>
      <c r="F32" s="1709"/>
      <c r="G32" s="1709"/>
      <c r="H32" s="1709"/>
      <c r="I32" s="1709"/>
      <c r="J32" s="1709"/>
      <c r="K32" s="1709"/>
      <c r="L32" s="1709"/>
      <c r="M32" s="1709"/>
      <c r="N32" s="1709"/>
      <c r="O32" s="1709"/>
      <c r="P32" s="1709"/>
      <c r="Q32" s="1709"/>
      <c r="R32" s="1709"/>
      <c r="S32" s="1709"/>
      <c r="T32" s="1709"/>
    </row>
    <row r="33" spans="1:41" x14ac:dyDescent="0.5">
      <c r="A33" s="1710" t="str">
        <f>ปก!B38</f>
        <v>(นายxxxxxx  xxxxxxxxx)</v>
      </c>
      <c r="B33" s="1710"/>
      <c r="C33" s="1710"/>
      <c r="D33" s="1710"/>
      <c r="E33" s="1710"/>
      <c r="F33" s="1710"/>
      <c r="G33" s="1710"/>
      <c r="H33" s="1710"/>
      <c r="I33" s="1710"/>
      <c r="J33" s="1710"/>
      <c r="K33" s="1710"/>
      <c r="L33" s="1710"/>
      <c r="M33" s="1710"/>
      <c r="N33" s="1710"/>
      <c r="O33" s="1710"/>
      <c r="P33" s="1710"/>
      <c r="Q33" s="1710"/>
      <c r="R33" s="1710"/>
      <c r="S33" s="1710"/>
      <c r="T33" s="1710"/>
    </row>
    <row r="34" spans="1:41" ht="19.5" customHeight="1" x14ac:dyDescent="0.5">
      <c r="A34" s="1711" t="str">
        <f>ปก!E37&amp;ปก!D10</f>
        <v>หัวหน้ากลุ่มสาระเลือกจากรายการ</v>
      </c>
      <c r="B34" s="1711"/>
      <c r="C34" s="1711"/>
      <c r="D34" s="1711"/>
      <c r="E34" s="1711"/>
      <c r="F34" s="1711"/>
      <c r="G34" s="1711"/>
      <c r="H34" s="1711"/>
      <c r="I34" s="1711"/>
      <c r="J34" s="1711"/>
      <c r="K34" s="1711"/>
      <c r="L34" s="1711"/>
      <c r="M34" s="1711"/>
      <c r="N34" s="1711"/>
      <c r="O34" s="1711"/>
      <c r="P34" s="1711"/>
      <c r="Q34" s="1711"/>
      <c r="R34" s="1711"/>
      <c r="S34" s="1711"/>
      <c r="T34" s="1711"/>
    </row>
    <row r="35" spans="1:41" ht="21" customHeight="1" x14ac:dyDescent="0.5">
      <c r="A35" s="1716" t="s">
        <v>57</v>
      </c>
      <c r="B35" s="1716"/>
      <c r="C35" s="1716"/>
      <c r="D35" s="1716"/>
      <c r="E35" s="1716"/>
      <c r="F35" s="1716"/>
      <c r="G35" s="1716"/>
      <c r="H35" s="1716"/>
      <c r="I35" s="1716"/>
      <c r="J35" s="1716"/>
      <c r="K35" s="1716"/>
      <c r="L35" s="1716"/>
      <c r="M35" s="1716"/>
      <c r="N35" s="1716"/>
      <c r="O35" s="1716"/>
      <c r="P35" s="1716"/>
      <c r="Q35" s="1716"/>
      <c r="R35" s="1716"/>
      <c r="S35" s="1716"/>
      <c r="T35" s="1716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7" t="s">
        <v>58</v>
      </c>
      <c r="B37" s="1718"/>
      <c r="C37" s="1718"/>
      <c r="D37" s="1718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692"/>
      <c r="M38" s="1692"/>
      <c r="N38" s="1692"/>
      <c r="O38" s="1692"/>
      <c r="P38" s="1692"/>
      <c r="Q38" s="1692"/>
      <c r="R38" s="1692"/>
      <c r="S38" s="1692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05" t="str">
        <f>ปก!B40</f>
        <v>(นาย............................... วว)</v>
      </c>
      <c r="B39" s="1706"/>
      <c r="C39" s="1706"/>
      <c r="D39" s="1706"/>
      <c r="E39" s="1706"/>
      <c r="F39" s="1706"/>
      <c r="G39" s="881"/>
      <c r="H39" s="881"/>
      <c r="I39" s="881"/>
      <c r="J39" s="881"/>
      <c r="K39" s="881"/>
      <c r="L39" s="1721" t="str">
        <f>ปก!B45</f>
        <v>(พระมหาวัชรปัฐน์ กาวิลหทัยสกุล)</v>
      </c>
      <c r="M39" s="1721"/>
      <c r="N39" s="1721"/>
      <c r="O39" s="1721"/>
      <c r="P39" s="1721"/>
      <c r="Q39" s="1721"/>
      <c r="R39" s="1721"/>
      <c r="S39" s="1721"/>
      <c r="T39" s="1722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699" t="str">
        <f>ปก!E39</f>
        <v>หัวหน้างานวัดผล</v>
      </c>
      <c r="B40" s="1700"/>
      <c r="C40" s="1700"/>
      <c r="D40" s="1700"/>
      <c r="E40" s="1700"/>
      <c r="F40" s="1700"/>
      <c r="G40" s="881"/>
      <c r="H40" s="881"/>
      <c r="I40" s="881"/>
      <c r="J40" s="881"/>
      <c r="K40" s="881"/>
      <c r="L40" s="1700" t="str">
        <f>ปก!E44</f>
        <v>รองผู้อำนวยการกลุ่มบริหารวิชาการ</v>
      </c>
      <c r="M40" s="1700"/>
      <c r="N40" s="1700"/>
      <c r="O40" s="1700"/>
      <c r="P40" s="1700"/>
      <c r="Q40" s="1700"/>
      <c r="R40" s="1700"/>
      <c r="S40" s="1700"/>
      <c r="T40" s="1701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02" t="s">
        <v>82</v>
      </c>
      <c r="B41" s="1703"/>
      <c r="C41" s="1703"/>
      <c r="D41" s="1703"/>
      <c r="E41" s="1703"/>
      <c r="F41" s="1703"/>
      <c r="G41" s="880"/>
      <c r="H41" s="880"/>
      <c r="I41" s="880"/>
      <c r="J41" s="880"/>
      <c r="K41" s="880"/>
      <c r="L41" s="1703" t="s">
        <v>82</v>
      </c>
      <c r="M41" s="1703"/>
      <c r="N41" s="1703"/>
      <c r="O41" s="1703"/>
      <c r="P41" s="1703"/>
      <c r="Q41" s="1703"/>
      <c r="R41" s="1703"/>
      <c r="S41" s="1703"/>
      <c r="T41" s="1704"/>
    </row>
    <row r="42" spans="1:41" ht="17.25" customHeight="1" x14ac:dyDescent="0.5">
      <c r="A42" s="1702" t="s">
        <v>59</v>
      </c>
      <c r="B42" s="1703"/>
      <c r="C42" s="1703"/>
      <c r="D42" s="1703"/>
      <c r="E42" s="1703"/>
      <c r="F42" s="1703"/>
      <c r="G42" s="1703"/>
      <c r="H42" s="1703"/>
      <c r="I42" s="1703"/>
      <c r="J42" s="1703"/>
      <c r="K42" s="1703"/>
      <c r="L42" s="1703"/>
      <c r="M42" s="1703"/>
      <c r="N42" s="1703"/>
      <c r="O42" s="1703"/>
      <c r="P42" s="1703"/>
      <c r="Q42" s="1703"/>
      <c r="R42" s="1703"/>
      <c r="S42" s="1703"/>
      <c r="T42" s="1704"/>
    </row>
    <row r="43" spans="1:41" ht="21" customHeight="1" x14ac:dyDescent="0.5">
      <c r="A43" s="1705" t="str">
        <f>ปก!H43</f>
        <v>(พระครูนิวิฐสุทธิการ)</v>
      </c>
      <c r="B43" s="1706"/>
      <c r="C43" s="1706"/>
      <c r="D43" s="1706"/>
      <c r="E43" s="1706"/>
      <c r="F43" s="1706"/>
      <c r="G43" s="1706"/>
      <c r="H43" s="1706"/>
      <c r="I43" s="1706"/>
      <c r="J43" s="1706"/>
      <c r="K43" s="1706"/>
      <c r="L43" s="1706"/>
      <c r="M43" s="1706"/>
      <c r="N43" s="1706"/>
      <c r="O43" s="1706"/>
      <c r="P43" s="1706"/>
      <c r="Q43" s="1706"/>
      <c r="R43" s="1706"/>
      <c r="S43" s="1706"/>
      <c r="T43" s="1707"/>
    </row>
    <row r="44" spans="1:41" ht="20.25" customHeight="1" x14ac:dyDescent="0.5">
      <c r="A44" s="1693" t="str">
        <f>ปก!H44</f>
        <v>ผู้อำนวยการโรงเรียนศักดิ์สุนันท์วิทยา</v>
      </c>
      <c r="B44" s="1694"/>
      <c r="C44" s="1694"/>
      <c r="D44" s="1694"/>
      <c r="E44" s="1694"/>
      <c r="F44" s="1694"/>
      <c r="G44" s="1694"/>
      <c r="H44" s="1694"/>
      <c r="I44" s="1694"/>
      <c r="J44" s="1694"/>
      <c r="K44" s="1694"/>
      <c r="L44" s="1694"/>
      <c r="M44" s="1694"/>
      <c r="N44" s="1694"/>
      <c r="O44" s="1694"/>
      <c r="P44" s="1694"/>
      <c r="Q44" s="1694"/>
      <c r="R44" s="1694"/>
      <c r="S44" s="1694"/>
      <c r="T44" s="1695"/>
    </row>
    <row r="45" spans="1:41" ht="18.75" customHeight="1" x14ac:dyDescent="0.5">
      <c r="A45" s="1696" t="s">
        <v>60</v>
      </c>
      <c r="B45" s="1697"/>
      <c r="C45" s="1697"/>
      <c r="D45" s="1697"/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8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P18:Q18"/>
    <mergeCell ref="A32:T32"/>
    <mergeCell ref="A33:T33"/>
    <mergeCell ref="A34:T34"/>
    <mergeCell ref="P20:Q20"/>
    <mergeCell ref="T18:T19"/>
    <mergeCell ref="P19:Q19"/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78" t="str">
        <f>"สรุปการประเมิน KPA      "&amp;ปก!E7</f>
        <v>สรุปการประเมิน KPA      ปีการศึกษา 2566</v>
      </c>
      <c r="C1" s="1778"/>
      <c r="D1" s="1778"/>
      <c r="E1" s="1778"/>
      <c r="F1" s="1778"/>
      <c r="G1" s="1779" t="str">
        <f>ปก!B6</f>
        <v>โรงเรียนศักดิ์สุนันท์วิทยา ตำบลแม่พริก อำเภอแม่พริก จังหวัดลำปาง</v>
      </c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1779"/>
      <c r="W1" s="1779"/>
      <c r="X1" s="1779"/>
      <c r="Y1" s="1779"/>
      <c r="Z1" s="1779"/>
      <c r="AA1" s="1779"/>
      <c r="AB1" s="1779"/>
      <c r="AC1" s="1779"/>
      <c r="AD1" s="1779"/>
      <c r="AE1" s="1779"/>
      <c r="AF1" s="1779"/>
      <c r="AG1" s="1779"/>
    </row>
    <row r="2" spans="1:33" ht="23.25" customHeight="1" x14ac:dyDescent="0.5">
      <c r="A2" s="448"/>
      <c r="B2" s="1782" t="str">
        <f>ปก!B10&amp;"  "&amp;ปก!D10</f>
        <v>กลุ่มสาระ  เลือกจากรายการ</v>
      </c>
      <c r="C2" s="1782"/>
      <c r="D2" s="1782"/>
      <c r="E2" s="1782"/>
      <c r="F2" s="1782"/>
      <c r="G2" s="451"/>
      <c r="H2" s="451"/>
      <c r="I2" s="451"/>
      <c r="J2" s="1780" t="str">
        <f>ปก!F10&amp;" "&amp;ปก!H10</f>
        <v>รหัส/รายวิชา ง11201 สารสนเทศเบื้องต้น</v>
      </c>
      <c r="K2" s="1780"/>
      <c r="L2" s="1780"/>
      <c r="M2" s="1780"/>
      <c r="N2" s="1780"/>
      <c r="O2" s="1780"/>
      <c r="P2" s="1780"/>
      <c r="Q2" s="1780"/>
      <c r="R2" s="1780"/>
      <c r="S2" s="1780"/>
      <c r="T2" s="1780"/>
      <c r="U2" s="1780"/>
      <c r="V2" s="1780"/>
      <c r="W2" s="1780"/>
      <c r="X2" s="1780"/>
      <c r="Y2" s="1780"/>
      <c r="Z2" s="1780"/>
      <c r="AA2" s="1781" t="str">
        <f>ปก!B11&amp;" "&amp;ปก!C11</f>
        <v>จำนวนน้ำหนัก 2</v>
      </c>
      <c r="AB2" s="1781"/>
      <c r="AC2" s="1781"/>
      <c r="AD2" s="1781"/>
      <c r="AE2" s="1781"/>
      <c r="AF2" s="1781"/>
      <c r="AG2" s="1781"/>
    </row>
    <row r="3" spans="1:33" ht="23.25" customHeight="1" thickBot="1" x14ac:dyDescent="0.55000000000000004">
      <c r="A3" s="449"/>
      <c r="B3" s="1776" t="str">
        <f>ปก!B8&amp;" "&amp;ปก!D8</f>
        <v>ชั้นประถมศึกษาปีที่  3/2</v>
      </c>
      <c r="C3" s="1776"/>
      <c r="D3" s="1776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77" t="str">
        <f>ปก!E12&amp;" "&amp;ปก!F12</f>
        <v>ครูผู้สอน นาย………………… ………...……..</v>
      </c>
      <c r="S3" s="1777"/>
      <c r="T3" s="1777"/>
      <c r="U3" s="1777"/>
      <c r="V3" s="1777"/>
      <c r="W3" s="1777"/>
      <c r="X3" s="1777"/>
      <c r="Y3" s="1777"/>
      <c r="Z3" s="1777"/>
      <c r="AA3" s="1777"/>
      <c r="AB3" s="1777"/>
      <c r="AC3" s="1777"/>
      <c r="AD3" s="1777"/>
      <c r="AE3" s="1777"/>
      <c r="AF3" s="1777"/>
      <c r="AG3" s="1777"/>
    </row>
    <row r="4" spans="1:33" ht="19.5" customHeight="1" thickBot="1" x14ac:dyDescent="0.55000000000000004">
      <c r="A4" s="395"/>
      <c r="B4" s="1580" t="s">
        <v>10</v>
      </c>
      <c r="C4" s="1767" t="s">
        <v>21</v>
      </c>
      <c r="D4" s="396"/>
      <c r="E4" s="1773" t="s">
        <v>149</v>
      </c>
      <c r="F4" s="1761" t="s">
        <v>12</v>
      </c>
      <c r="G4" s="1762"/>
      <c r="H4" s="1762"/>
      <c r="I4" s="1762"/>
      <c r="J4" s="1762"/>
      <c r="K4" s="1763"/>
      <c r="L4" s="1764" t="s">
        <v>185</v>
      </c>
      <c r="M4" s="1765"/>
      <c r="N4" s="1765"/>
      <c r="O4" s="1765"/>
      <c r="P4" s="1765"/>
      <c r="Q4" s="1766"/>
      <c r="R4" s="1761" t="s">
        <v>15</v>
      </c>
      <c r="S4" s="1762"/>
      <c r="T4" s="1762"/>
      <c r="U4" s="1762"/>
      <c r="V4" s="1762"/>
      <c r="W4" s="1763"/>
      <c r="X4" s="1764" t="s">
        <v>186</v>
      </c>
      <c r="Y4" s="1765"/>
      <c r="Z4" s="1765"/>
      <c r="AA4" s="1765"/>
      <c r="AB4" s="1765"/>
      <c r="AC4" s="1766"/>
      <c r="AD4" s="397"/>
      <c r="AE4" s="398"/>
      <c r="AF4" s="399"/>
      <c r="AG4" s="400"/>
    </row>
    <row r="5" spans="1:33" ht="19.5" customHeight="1" thickBot="1" x14ac:dyDescent="0.55000000000000004">
      <c r="A5" s="395"/>
      <c r="B5" s="1581"/>
      <c r="C5" s="1768"/>
      <c r="D5" s="401" t="s">
        <v>11</v>
      </c>
      <c r="E5" s="1774"/>
      <c r="F5" s="1770" t="s">
        <v>183</v>
      </c>
      <c r="G5" s="1771"/>
      <c r="H5" s="1771"/>
      <c r="I5" s="1771" t="s">
        <v>184</v>
      </c>
      <c r="J5" s="1771"/>
      <c r="K5" s="1772"/>
      <c r="L5" s="1759" t="s">
        <v>183</v>
      </c>
      <c r="M5" s="1755"/>
      <c r="N5" s="1755"/>
      <c r="O5" s="1755" t="s">
        <v>184</v>
      </c>
      <c r="P5" s="1755"/>
      <c r="Q5" s="1760"/>
      <c r="R5" s="1753" t="s">
        <v>183</v>
      </c>
      <c r="S5" s="1754"/>
      <c r="T5" s="1754"/>
      <c r="U5" s="1754" t="s">
        <v>184</v>
      </c>
      <c r="V5" s="1754"/>
      <c r="W5" s="1754"/>
      <c r="X5" s="1755" t="s">
        <v>183</v>
      </c>
      <c r="Y5" s="1755"/>
      <c r="Z5" s="1755"/>
      <c r="AA5" s="1755" t="s">
        <v>184</v>
      </c>
      <c r="AB5" s="1755"/>
      <c r="AC5" s="1760"/>
      <c r="AD5" s="1756" t="s">
        <v>187</v>
      </c>
      <c r="AE5" s="1757"/>
      <c r="AF5" s="1758"/>
      <c r="AG5" s="402" t="s">
        <v>52</v>
      </c>
    </row>
    <row r="6" spans="1:33" ht="19.5" customHeight="1" thickBot="1" x14ac:dyDescent="0.55000000000000004">
      <c r="A6" s="395"/>
      <c r="B6" s="1581"/>
      <c r="C6" s="1768"/>
      <c r="D6" s="401"/>
      <c r="E6" s="1774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582"/>
      <c r="C7" s="1769"/>
      <c r="D7" s="412"/>
      <c r="E7" s="1775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12392</v>
      </c>
      <c r="D8" s="421" t="str">
        <f>'ชื่อ-คะแนน'!DB6</f>
        <v>เด็กหญิง กรรณิการ์  สุวะเลิศ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12399</v>
      </c>
      <c r="D9" s="336" t="str">
        <f>'ชื่อ-คะแนน'!DB7</f>
        <v>เด็กชาย ณัฐรัตน์  สุริยะทา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12401</v>
      </c>
      <c r="D10" s="336" t="str">
        <f>'ชื่อ-คะแนน'!DB8</f>
        <v>เด็กชาย ตุลากาล  กาวิน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12402</v>
      </c>
      <c r="D11" s="336" t="str">
        <f>'ชื่อ-คะแนน'!DB9</f>
        <v>เด็กชาย ธนบูรณ์  สุภาดี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12407</v>
      </c>
      <c r="D12" s="336" t="str">
        <f>'ชื่อ-คะแนน'!DB10</f>
        <v>เด็กชาย พีรกร  บุญฉิม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12408</v>
      </c>
      <c r="D13" s="325" t="str">
        <f>'ชื่อ-คะแนน'!DB11</f>
        <v>เด็กหญิง ภัทรวรรณ  ชาวิชัย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12415</v>
      </c>
      <c r="D14" s="336" t="str">
        <f>'ชื่อ-คะแนน'!DB12</f>
        <v>เด็กหญิง ศลักษณ์พร  บุญมา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12416</v>
      </c>
      <c r="D15" s="336" t="str">
        <f>'ชื่อ-คะแนน'!DB13</f>
        <v>เด็กชาย สิทธิชัย  สุขอ่วม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12752</v>
      </c>
      <c r="D16" s="336" t="str">
        <f>'ชื่อ-คะแนน'!DB14</f>
        <v>สามเณร ซอยือเล  -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12755</v>
      </c>
      <c r="D17" s="336" t="str">
        <f>'ชื่อ-คะแนน'!DB15</f>
        <v>สามเณร ตาเบโอ  -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12756</v>
      </c>
      <c r="D18" s="325" t="str">
        <f>'ชื่อ-คะแนน'!DB16</f>
        <v>สามเณร เนาะหน่อโพ  -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12757</v>
      </c>
      <c r="D19" s="336" t="str">
        <f>'ชื่อ-คะแนน'!DB17</f>
        <v>สามเณร ยะเพอ  -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 t="str">
        <f>'ชื่อ-คะแนน'!A18</f>
        <v/>
      </c>
      <c r="C20" s="429">
        <f>'ชื่อ-คะแนน'!B18</f>
        <v>0</v>
      </c>
      <c r="D20" s="336" t="str">
        <f>'ชื่อ-คะแนน'!DB18</f>
        <v/>
      </c>
      <c r="E20" s="430">
        <f>'ชื่อ-คะแนน'!D18</f>
        <v>0</v>
      </c>
      <c r="F20" s="431" t="str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/>
      </c>
      <c r="G20" s="432" t="str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/>
      </c>
      <c r="H20" s="433" t="str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/>
      </c>
      <c r="I20" s="434" t="str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/>
      </c>
      <c r="J20" s="435" t="str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/>
      </c>
      <c r="K20" s="436" t="str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/>
      </c>
      <c r="L20" s="431" t="str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/>
      </c>
      <c r="M20" s="432" t="str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/>
      </c>
      <c r="N20" s="433" t="str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/>
      </c>
      <c r="O20" s="434" t="str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/>
      </c>
      <c r="P20" s="435" t="str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/>
      </c>
      <c r="Q20" s="436" t="str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/>
      </c>
      <c r="R20" s="1051" t="str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/>
      </c>
      <c r="S20" s="1052" t="str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/>
      </c>
      <c r="T20" s="1070" t="str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/>
      </c>
      <c r="U20" s="1053" t="str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/>
      </c>
      <c r="V20" s="1054" t="str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/>
      </c>
      <c r="W20" s="1055" t="str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/>
      </c>
      <c r="X20" s="1051" t="str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/>
      </c>
      <c r="Y20" s="1052" t="str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/>
      </c>
      <c r="Z20" s="1070" t="str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/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 t="str">
        <f>IF('ชื่อ-คะแนน'!C18="","",IF(E20="พัก","--",IF(E20="ออก","--",IF(E20="ย้าย","--",(F20+I20+L20+O20+R20+U20+X20+AA20)/2))))</f>
        <v/>
      </c>
      <c r="AE20" s="1056" t="str">
        <f>IF('ชื่อ-คะแนน'!C18="","",IF(E20="พัก","--",IF(E20="ออก","--",IF(E20="ย้าย","--",(G20+J20+M20+P20+S20+V20+Y20+AB20)/2))))</f>
        <v/>
      </c>
      <c r="AF20" s="1057" t="str">
        <f>IF('ชื่อ-คะแนน'!C18="","",IF(E20="พัก","--",IF(E20="ออก","--",IF(E20="ย้าย","--",(H20+K20+N20+Q20+T20+W20+Z20+AC20)/2))))</f>
        <v/>
      </c>
      <c r="AG20" s="305"/>
    </row>
    <row r="21" spans="1:33" s="5" customFormat="1" ht="18" customHeight="1" x14ac:dyDescent="0.5">
      <c r="A21" s="281"/>
      <c r="B21" s="246" t="str">
        <f>'ชื่อ-คะแนน'!A19</f>
        <v/>
      </c>
      <c r="C21" s="429">
        <f>'ชื่อ-คะแนน'!B19</f>
        <v>0</v>
      </c>
      <c r="D21" s="336" t="str">
        <f>'ชื่อ-คะแนน'!DB19</f>
        <v/>
      </c>
      <c r="E21" s="430">
        <f>'ชื่อ-คะแนน'!D19</f>
        <v>0</v>
      </c>
      <c r="F21" s="431" t="str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/>
      </c>
      <c r="G21" s="432" t="str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/>
      </c>
      <c r="H21" s="433" t="str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/>
      </c>
      <c r="I21" s="434" t="str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/>
      </c>
      <c r="J21" s="435" t="str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/>
      </c>
      <c r="K21" s="436" t="str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/>
      </c>
      <c r="L21" s="431" t="str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/>
      </c>
      <c r="M21" s="432" t="str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/>
      </c>
      <c r="N21" s="433" t="str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/>
      </c>
      <c r="O21" s="434" t="str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/>
      </c>
      <c r="P21" s="435" t="str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/>
      </c>
      <c r="Q21" s="436" t="str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/>
      </c>
      <c r="R21" s="1051" t="str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/>
      </c>
      <c r="S21" s="1052" t="str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/>
      </c>
      <c r="T21" s="1070" t="str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/>
      </c>
      <c r="U21" s="1053" t="str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/>
      </c>
      <c r="V21" s="1054" t="str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/>
      </c>
      <c r="W21" s="1055" t="str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/>
      </c>
      <c r="X21" s="1051" t="str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/>
      </c>
      <c r="Y21" s="1052" t="str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/>
      </c>
      <c r="Z21" s="1070" t="str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/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 t="str">
        <f>IF('ชื่อ-คะแนน'!C19="","",IF(E21="พัก","--",IF(E21="ออก","--",IF(E21="ย้าย","--",(F21+I21+L21+O21+R21+U21+X21+AA21)/2))))</f>
        <v/>
      </c>
      <c r="AE21" s="1056" t="str">
        <f>IF('ชื่อ-คะแนน'!C19="","",IF(E21="พัก","--",IF(E21="ออก","--",IF(E21="ย้าย","--",(G21+J21+M21+P21+S21+V21+Y21+AB21)/2))))</f>
        <v/>
      </c>
      <c r="AF21" s="1057" t="str">
        <f>IF('ชื่อ-คะแนน'!C19="","",IF(E21="พัก","--",IF(E21="ออก","--",IF(E21="ย้าย","--",(H21+K21+N21+Q21+T21+W21+Z21+AC21)/2))))</f>
        <v/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B3:D3"/>
    <mergeCell ref="R3:AG3"/>
    <mergeCell ref="B1:F1"/>
    <mergeCell ref="G1:AG1"/>
    <mergeCell ref="J2:Z2"/>
    <mergeCell ref="AA2:AG2"/>
    <mergeCell ref="B2:F2"/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3/2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12392</v>
      </c>
      <c r="D5" s="241" t="str">
        <f>'ชื่อ-คะแนน'!DB6</f>
        <v>เด็กหญิง กรรณิการ์  สุวะเลิศ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12399</v>
      </c>
      <c r="D6" s="248" t="str">
        <f>'ชื่อ-คะแนน'!DB7</f>
        <v>เด็กชาย ณัฐรัตน์  สุริยะทา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12401</v>
      </c>
      <c r="D7" s="248" t="str">
        <f>'ชื่อ-คะแนน'!DB8</f>
        <v>เด็กชาย ตุลากาล  กาวิน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12402</v>
      </c>
      <c r="D8" s="248" t="str">
        <f>'ชื่อ-คะแนน'!DB9</f>
        <v>เด็กชาย ธนบูรณ์  สุภาดี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12407</v>
      </c>
      <c r="D9" s="248" t="str">
        <f>'ชื่อ-คะแนน'!DB10</f>
        <v>เด็กชาย พีรกร  บุญฉิม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12408</v>
      </c>
      <c r="D10" s="241" t="str">
        <f>'ชื่อ-คะแนน'!DB11</f>
        <v>เด็กหญิง ภัทรวรรณ  ชาวิชัย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12415</v>
      </c>
      <c r="D11" s="248" t="str">
        <f>'ชื่อ-คะแนน'!DB12</f>
        <v>เด็กหญิง ศลักษณ์พร  บุญมา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12416</v>
      </c>
      <c r="D12" s="248" t="str">
        <f>'ชื่อ-คะแนน'!DB13</f>
        <v>เด็กชาย สิทธิชัย  สุขอ่วม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12752</v>
      </c>
      <c r="D13" s="248" t="str">
        <f>'ชื่อ-คะแนน'!DB14</f>
        <v>สามเณร ซอยือเล  -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12755</v>
      </c>
      <c r="D14" s="248" t="str">
        <f>'ชื่อ-คะแนน'!DB15</f>
        <v>สามเณร ตาเบโอ  -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12756</v>
      </c>
      <c r="D15" s="241" t="str">
        <f>'ชื่อ-คะแนน'!DB16</f>
        <v>สามเณร เนาะหน่อโพ  -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12757</v>
      </c>
      <c r="D16" s="248" t="str">
        <f>'ชื่อ-คะแนน'!DB17</f>
        <v>สามเณร ยะเพอ  -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62" t="str">
        <f>'ชื่อ-คะแนน'!CT18</f>
        <v/>
      </c>
      <c r="F17" s="263" t="str">
        <f>แจ้งผล_1!P19</f>
        <v/>
      </c>
      <c r="G17" s="249" t="str">
        <f>แจ้งผล_1!W19</f>
        <v/>
      </c>
      <c r="H17" s="250" t="str">
        <f>เวลา2!EJ19</f>
        <v/>
      </c>
      <c r="I17" s="251" t="str">
        <f>IF('ชื่อ-คะแนน'!C18="","",IF(ปก!$D$10="กิจกรรมพัฒนาผู้เรียน","",แจ้งผล_1!AA19))</f>
        <v/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62" t="str">
        <f>'ชื่อ-คะแนน'!CT19</f>
        <v/>
      </c>
      <c r="F18" s="263" t="str">
        <f>แจ้งผล_1!P20</f>
        <v/>
      </c>
      <c r="G18" s="249" t="str">
        <f>แจ้งผล_1!W20</f>
        <v/>
      </c>
      <c r="H18" s="250" t="str">
        <f>เวลา2!EJ20</f>
        <v/>
      </c>
      <c r="I18" s="251" t="str">
        <f>IF('ชื่อ-คะแนน'!C19="","",IF(ปก!$D$10="กิจกรรมพัฒนาผู้เรียน","",แจ้งผล_1!AA20))</f>
        <v/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3/2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12392</v>
      </c>
      <c r="D5" s="241" t="str">
        <f>'ชื่อ-คะแนน'!DB6</f>
        <v>เด็กหญิง กรรณิการ์  สุวะเลิศ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12399</v>
      </c>
      <c r="D6" s="248" t="str">
        <f>'ชื่อ-คะแนน'!DB7</f>
        <v>เด็กชาย ณัฐรัตน์  สุริยะทา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12401</v>
      </c>
      <c r="D7" s="248" t="str">
        <f>'ชื่อ-คะแนน'!DB8</f>
        <v>เด็กชาย ตุลากาล  กาวิน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12402</v>
      </c>
      <c r="D8" s="248" t="str">
        <f>'ชื่อ-คะแนน'!DB9</f>
        <v>เด็กชาย ธนบูรณ์  สุภาดี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12407</v>
      </c>
      <c r="D9" s="248" t="str">
        <f>'ชื่อ-คะแนน'!DB10</f>
        <v>เด็กชาย พีรกร  บุญฉิม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12408</v>
      </c>
      <c r="D10" s="241" t="str">
        <f>'ชื่อ-คะแนน'!DB11</f>
        <v>เด็กหญิง ภัทรวรรณ  ชาวิชัย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12415</v>
      </c>
      <c r="D11" s="248" t="str">
        <f>'ชื่อ-คะแนน'!DB12</f>
        <v>เด็กหญิง ศลักษณ์พร  บุญมา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12416</v>
      </c>
      <c r="D12" s="248" t="str">
        <f>'ชื่อ-คะแนน'!DB13</f>
        <v>เด็กชาย สิทธิชัย  สุขอ่วม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12752</v>
      </c>
      <c r="D13" s="248" t="str">
        <f>'ชื่อ-คะแนน'!DB14</f>
        <v>สามเณร ซอยือเล  -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12755</v>
      </c>
      <c r="D14" s="248" t="str">
        <f>'ชื่อ-คะแนน'!DB15</f>
        <v>สามเณร ตาเบโอ  -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12756</v>
      </c>
      <c r="D15" s="241" t="str">
        <f>'ชื่อ-คะแนน'!DB16</f>
        <v>สามเณร เนาะหน่อโพ  -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12757</v>
      </c>
      <c r="D16" s="248" t="str">
        <f>'ชื่อ-คะแนน'!DB17</f>
        <v>สามเณร ยะเพอ  -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87" t="str">
        <f>เวลา2!EJ19</f>
        <v/>
      </c>
      <c r="F17" s="288" t="str">
        <f>แจ้งผล_1!AA19</f>
        <v/>
      </c>
      <c r="G17" s="284" t="str">
        <f>เวลา2!EM19</f>
        <v/>
      </c>
      <c r="H17" s="289" t="str">
        <f>เวลา2!EN19</f>
        <v/>
      </c>
      <c r="I17" s="290" t="str">
        <f>เวลา2!EO19</f>
        <v/>
      </c>
      <c r="J17" s="305"/>
    </row>
    <row r="18" spans="1:10" s="5" customFormat="1" ht="18" customHeight="1" x14ac:dyDescent="0.5">
      <c r="A18" s="281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87" t="str">
        <f>เวลา2!EJ20</f>
        <v/>
      </c>
      <c r="F18" s="288" t="str">
        <f>แจ้งผล_1!AA20</f>
        <v/>
      </c>
      <c r="G18" s="284" t="str">
        <f>เวลา2!EM20</f>
        <v/>
      </c>
      <c r="H18" s="289" t="str">
        <f>เวลา2!EN20</f>
        <v/>
      </c>
      <c r="I18" s="290" t="str">
        <f>เวลา2!EO20</f>
        <v/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823" t="str">
        <f>IF(ปก!$D$10="กิจกรรมพัฒนาผู้เรียน","แบบแจ้งผล มผ","แบบแจ้งผล 0 ร มส")</f>
        <v>แบบแจ้งผล 0 ร มส</v>
      </c>
      <c r="B1" s="1823"/>
      <c r="C1" s="1823"/>
      <c r="D1" s="1826" t="str">
        <f>ปก!B6</f>
        <v>โรงเรียนศักดิ์สุนันท์วิทยา ตำบลแม่พริก อำเภอแม่พริก จังหวัดลำปาง</v>
      </c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7"/>
    </row>
    <row r="2" spans="1:15" ht="23.25" x14ac:dyDescent="0.5">
      <c r="A2" s="1827" t="str">
        <f>ปก!B10&amp;ปก!C9&amp;ปก!D10</f>
        <v>กลุ่มสาระ  เลือกจากรายการ</v>
      </c>
      <c r="B2" s="1827"/>
      <c r="C2" s="1827"/>
      <c r="D2" s="1827"/>
      <c r="E2" s="1827"/>
      <c r="F2" s="1827"/>
      <c r="G2" s="1825" t="str">
        <f>ปก!E7</f>
        <v>ปีการศึกษา 2566</v>
      </c>
      <c r="H2" s="1825"/>
      <c r="I2" s="1825"/>
      <c r="J2" s="1825"/>
      <c r="K2" s="1824" t="str">
        <f>ปก!B8&amp;ปก!C9&amp;ปก!D8</f>
        <v>ชั้นประถมศึกษาปีที่   3/2</v>
      </c>
      <c r="L2" s="1824"/>
      <c r="M2" s="1824"/>
      <c r="N2" s="1824"/>
      <c r="O2" s="10"/>
    </row>
    <row r="3" spans="1:15" ht="22.5" customHeight="1" thickBot="1" x14ac:dyDescent="0.55000000000000004">
      <c r="A3" s="1822" t="str">
        <f>"วิชา"&amp;"  "&amp;ปก!H10</f>
        <v>วิชา  ง11201 สารสนเทศเบื้องต้น</v>
      </c>
      <c r="B3" s="1822"/>
      <c r="C3" s="1822"/>
      <c r="D3" s="1822"/>
      <c r="E3" s="1822"/>
      <c r="F3" s="1822"/>
      <c r="G3" s="1821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821"/>
      <c r="I3" s="1821"/>
      <c r="J3" s="1821"/>
      <c r="K3" s="1821"/>
      <c r="L3" s="1821"/>
      <c r="M3" s="1821"/>
      <c r="N3" s="1821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12392</v>
      </c>
      <c r="C5" s="325" t="str">
        <f>'ชื่อ-คะแนน'!DB6</f>
        <v>เด็กหญิง กรรณิการ์  สุวะเลิศ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12399</v>
      </c>
      <c r="C6" s="336" t="str">
        <f>'ชื่อ-คะแนน'!DB7</f>
        <v>เด็กชาย ณัฐรัตน์  สุริยะทา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12401</v>
      </c>
      <c r="C7" s="336" t="str">
        <f>'ชื่อ-คะแนน'!DB8</f>
        <v>เด็กชาย ตุลากาล  กาวิน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12402</v>
      </c>
      <c r="C8" s="336" t="str">
        <f>'ชื่อ-คะแนน'!DB9</f>
        <v>เด็กชาย ธนบูรณ์  สุภาดี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12407</v>
      </c>
      <c r="C9" s="336" t="str">
        <f>'ชื่อ-คะแนน'!DB10</f>
        <v>เด็กชาย พีรกร  บุญฉิม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12408</v>
      </c>
      <c r="C10" s="325" t="str">
        <f>'ชื่อ-คะแนน'!DB11</f>
        <v>เด็กหญิง ภัทรวรรณ  ชาวิชัย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12415</v>
      </c>
      <c r="C11" s="336" t="str">
        <f>'ชื่อ-คะแนน'!DB12</f>
        <v>เด็กหญิง ศลักษณ์พร  บุญมา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12416</v>
      </c>
      <c r="C12" s="336" t="str">
        <f>'ชื่อ-คะแนน'!DB13</f>
        <v>เด็กชาย สิทธิชัย  สุขอ่วม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12752</v>
      </c>
      <c r="C13" s="336" t="str">
        <f>'ชื่อ-คะแนน'!DB14</f>
        <v>สามเณร ซอยือเล  -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12755</v>
      </c>
      <c r="C14" s="336" t="str">
        <f>'ชื่อ-คะแนน'!DB15</f>
        <v>สามเณร ตาเบโอ  -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12756</v>
      </c>
      <c r="C15" s="325" t="str">
        <f>'ชื่อ-คะแนน'!DB16</f>
        <v>สามเณร เนาะหน่อโพ  -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12757</v>
      </c>
      <c r="C16" s="336" t="str">
        <f>'ชื่อ-คะแนน'!DB17</f>
        <v>สามเณร ยะเพอ  -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 t="str">
        <f>'ชื่อ-คะแนน'!A18</f>
        <v/>
      </c>
      <c r="B17" s="335">
        <f>'ชื่อ-คะแนน'!B18</f>
        <v>0</v>
      </c>
      <c r="C17" s="336" t="str">
        <f>'ชื่อ-คะแนน'!DB18</f>
        <v/>
      </c>
      <c r="D17" s="337">
        <f>'ชื่อ-คะแนน'!D18</f>
        <v>0</v>
      </c>
      <c r="E17" s="338" t="str">
        <f>แจ้งผล_1!K19</f>
        <v/>
      </c>
      <c r="F17" s="339" t="str">
        <f>IF('ชื่อ-คะแนน'!C18="","",IF('ชื่อ-คะแนน'!CM18="","-",('ชื่อ-คะแนน'!AX18+'ชื่อ-คะแนน'!CO18)/2))</f>
        <v/>
      </c>
      <c r="G17" s="340" t="str">
        <f>แจ้งผล_1!P19</f>
        <v/>
      </c>
      <c r="H17" s="341" t="str">
        <f>เวลา2!EJ19</f>
        <v/>
      </c>
      <c r="I17" s="251" t="str">
        <f>IF('ชื่อ-คะแนน'!C18="","",แจ้งผล_1!AA19)</f>
        <v/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 t="str">
        <f>'ชื่อ-คะแนน'!A19</f>
        <v/>
      </c>
      <c r="B18" s="335">
        <f>'ชื่อ-คะแนน'!B19</f>
        <v>0</v>
      </c>
      <c r="C18" s="336" t="str">
        <f>'ชื่อ-คะแนน'!DB19</f>
        <v/>
      </c>
      <c r="D18" s="337">
        <f>'ชื่อ-คะแนน'!D19</f>
        <v>0</v>
      </c>
      <c r="E18" s="338" t="str">
        <f>แจ้งผล_1!K20</f>
        <v/>
      </c>
      <c r="F18" s="339" t="str">
        <f>IF('ชื่อ-คะแนน'!C19="","",IF('ชื่อ-คะแนน'!CM19="","-",('ชื่อ-คะแนน'!AX19+'ชื่อ-คะแนน'!CO19)/2))</f>
        <v/>
      </c>
      <c r="G18" s="340" t="str">
        <f>แจ้งผล_1!P20</f>
        <v/>
      </c>
      <c r="H18" s="341" t="str">
        <f>เวลา2!EJ20</f>
        <v/>
      </c>
      <c r="I18" s="251" t="str">
        <f>IF('ชื่อ-คะแนน'!C19="","",แจ้งผล_1!AA20)</f>
        <v/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812" t="s">
        <v>44</v>
      </c>
      <c r="F57" s="1813"/>
      <c r="G57" s="1813"/>
      <c r="H57" s="1813"/>
      <c r="I57" s="1813"/>
      <c r="J57" s="361"/>
      <c r="K57" s="1813" t="s">
        <v>44</v>
      </c>
      <c r="L57" s="1813"/>
      <c r="M57" s="1813"/>
      <c r="N57" s="1814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20" t="str">
        <f>"("&amp;ปก!F12&amp;")"&amp;"  "&amp;"ผู้แก้ 1"</f>
        <v>(นาย………………… ………...……..)  ผู้แก้ 1</v>
      </c>
      <c r="F58" s="1818"/>
      <c r="G58" s="1818"/>
      <c r="H58" s="1818"/>
      <c r="I58" s="1818"/>
      <c r="J58" s="365"/>
      <c r="K58" s="1818" t="str">
        <f>"("&amp;ปก!F12&amp;")"&amp;"  "&amp;"ผู้แก้ 2"</f>
        <v>(นาย………………… ………...……..)  ผู้แก้ 2</v>
      </c>
      <c r="L58" s="1818"/>
      <c r="M58" s="1818"/>
      <c r="N58" s="1819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9" t="s">
        <v>85</v>
      </c>
      <c r="F59" s="1810"/>
      <c r="G59" s="1810"/>
      <c r="H59" s="1810"/>
      <c r="I59" s="1810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799" t="str">
        <f>C60</f>
        <v>(นายxxxxxx  xxxxxxxxx)</v>
      </c>
      <c r="F60" s="1800"/>
      <c r="G60" s="1800"/>
      <c r="H60" s="1800"/>
      <c r="I60" s="1800"/>
      <c r="J60" s="371"/>
      <c r="K60" s="1800" t="str">
        <f>C60</f>
        <v>(นายxxxxxx  xxxxxxxxx)</v>
      </c>
      <c r="L60" s="1800"/>
      <c r="M60" s="1800"/>
      <c r="N60" s="180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15" t="str">
        <f>C61</f>
        <v>หัวหน้ากลุ่มสาระเลือกจากรายการ</v>
      </c>
      <c r="F61" s="1816"/>
      <c r="G61" s="1816"/>
      <c r="H61" s="1816"/>
      <c r="I61" s="1816"/>
      <c r="J61" s="371"/>
      <c r="K61" s="1816" t="str">
        <f>C61</f>
        <v>หัวหน้ากลุ่มสาระเลือกจากรายการ</v>
      </c>
      <c r="L61" s="1816"/>
      <c r="M61" s="1816"/>
      <c r="N61" s="1817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06" t="s">
        <v>85</v>
      </c>
      <c r="F63" s="1796"/>
      <c r="G63" s="1796"/>
      <c r="H63" s="1796"/>
      <c r="I63" s="1796"/>
      <c r="J63" s="374"/>
      <c r="K63" s="1796" t="s">
        <v>85</v>
      </c>
      <c r="L63" s="1796"/>
      <c r="M63" s="1796"/>
      <c r="N63" s="1797"/>
    </row>
    <row r="64" spans="1:14" ht="21.75" x14ac:dyDescent="0.5">
      <c r="A64" s="362"/>
      <c r="B64" s="356"/>
      <c r="C64" s="370"/>
      <c r="D64" s="370"/>
      <c r="E64" s="1807" t="str">
        <f>ปก!E39</f>
        <v>หัวหน้างานวัดผล</v>
      </c>
      <c r="F64" s="1808"/>
      <c r="G64" s="1808"/>
      <c r="H64" s="1808"/>
      <c r="I64" s="1808"/>
      <c r="J64" s="374"/>
      <c r="K64" s="1721" t="str">
        <f>E64</f>
        <v>หัวหน้างานวัดผล</v>
      </c>
      <c r="L64" s="1721"/>
      <c r="M64" s="1721"/>
      <c r="N64" s="1798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9" t="s">
        <v>86</v>
      </c>
      <c r="F66" s="1810"/>
      <c r="G66" s="1810"/>
      <c r="H66" s="1810"/>
      <c r="I66" s="1810"/>
      <c r="J66" s="366"/>
      <c r="K66" s="1810" t="s">
        <v>86</v>
      </c>
      <c r="L66" s="1810"/>
      <c r="M66" s="1810"/>
      <c r="N66" s="1811"/>
    </row>
    <row r="67" spans="1:14" ht="21.75" x14ac:dyDescent="0.5">
      <c r="A67" s="362"/>
      <c r="B67" s="356"/>
      <c r="C67" s="370"/>
      <c r="D67" s="370"/>
      <c r="E67" s="1803" t="str">
        <f>ปก!B45</f>
        <v>(พระมหาวัชรปัฐน์ กาวิลหทัยสกุล)</v>
      </c>
      <c r="F67" s="1804"/>
      <c r="G67" s="1804"/>
      <c r="H67" s="1804"/>
      <c r="I67" s="1804"/>
      <c r="J67" s="365"/>
      <c r="K67" s="1792" t="str">
        <f>E67</f>
        <v>(พระมหาวัชรปัฐน์ กาวิลหทัยสกุล)</v>
      </c>
      <c r="L67" s="1792"/>
      <c r="M67" s="1792"/>
      <c r="N67" s="1793"/>
    </row>
    <row r="68" spans="1:14" ht="21.75" x14ac:dyDescent="0.5">
      <c r="A68" s="362"/>
      <c r="B68" s="356"/>
      <c r="C68" s="370"/>
      <c r="D68" s="370"/>
      <c r="E68" s="1805" t="str">
        <f>ปก!E44</f>
        <v>รองผู้อำนวยการกลุ่มบริหารวิชาการ</v>
      </c>
      <c r="F68" s="1794"/>
      <c r="G68" s="1794"/>
      <c r="H68" s="1794"/>
      <c r="I68" s="1794"/>
      <c r="J68" s="371"/>
      <c r="K68" s="1794" t="str">
        <f>E68</f>
        <v>รองผู้อำนวยการกลุ่มบริหารวิชาการ</v>
      </c>
      <c r="L68" s="1794"/>
      <c r="M68" s="1794"/>
      <c r="N68" s="1795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02" t="s">
        <v>47</v>
      </c>
      <c r="H69" s="1802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799" t="str">
        <f>ปก!H44</f>
        <v>ผู้อำนวยการโรงเรียนศักดิ์สุนันท์วิทยา</v>
      </c>
      <c r="F71" s="1800"/>
      <c r="G71" s="1800"/>
      <c r="H71" s="1800"/>
      <c r="I71" s="1800"/>
      <c r="J71" s="371"/>
      <c r="K71" s="1800" t="str">
        <f>E71</f>
        <v>ผู้อำนวยการโรงเรียนศักดิ์สุนันท์วิทยา</v>
      </c>
      <c r="L71" s="1800"/>
      <c r="M71" s="1800"/>
      <c r="N71" s="180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G3:N3"/>
    <mergeCell ref="A3:F3"/>
    <mergeCell ref="A1:C1"/>
    <mergeCell ref="K2:N2"/>
    <mergeCell ref="G2:J2"/>
    <mergeCell ref="D1:N1"/>
    <mergeCell ref="A2:F2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3/2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580" t="s">
        <v>10</v>
      </c>
      <c r="B4" s="1767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581"/>
      <c r="B5" s="1768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582"/>
      <c r="B6" s="1769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12392</v>
      </c>
      <c r="C7" s="889" t="str">
        <f>'ชื่อ-คะแนน'!DB6</f>
        <v>เด็กหญิง กรรณิการ์  สุวะเลิศ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12399</v>
      </c>
      <c r="C8" s="895" t="str">
        <f>'ชื่อ-คะแนน'!DB7</f>
        <v>เด็กชาย ณัฐรัตน์  สุริยะทา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12401</v>
      </c>
      <c r="C9" s="895" t="str">
        <f>'ชื่อ-คะแนน'!DB8</f>
        <v>เด็กชาย ตุลากาล  กาวิน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12402</v>
      </c>
      <c r="C10" s="895" t="str">
        <f>'ชื่อ-คะแนน'!DB9</f>
        <v>เด็กชาย ธนบูรณ์  สุภาดี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12407</v>
      </c>
      <c r="C11" s="900" t="str">
        <f>'ชื่อ-คะแนน'!DB10</f>
        <v>เด็กชาย พีรกร  บุญฉิม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12408</v>
      </c>
      <c r="C12" s="889" t="str">
        <f>'ชื่อ-คะแนน'!DB11</f>
        <v>เด็กหญิง ภัทรวรรณ  ชาวิชัย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12415</v>
      </c>
      <c r="C13" s="895" t="str">
        <f>'ชื่อ-คะแนน'!DB12</f>
        <v>เด็กหญิง ศลักษณ์พร  บุญมา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12416</v>
      </c>
      <c r="C14" s="895" t="str">
        <f>'ชื่อ-คะแนน'!DB13</f>
        <v>เด็กชาย สิทธิชัย  สุขอ่วม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12752</v>
      </c>
      <c r="C15" s="895" t="str">
        <f>'ชื่อ-คะแนน'!DB14</f>
        <v>สามเณร ซอยือเล  -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12755</v>
      </c>
      <c r="C16" s="900" t="str">
        <f>'ชื่อ-คะแนน'!DB15</f>
        <v>สามเณร ตาเบโอ  -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12756</v>
      </c>
      <c r="C17" s="889" t="str">
        <f>'ชื่อ-คะแนน'!DB16</f>
        <v>สามเณร เนาะหน่อโพ  -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12757</v>
      </c>
      <c r="C18" s="895" t="str">
        <f>'ชื่อ-คะแนน'!DB17</f>
        <v>สามเณร ยะเพอ  -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>
        <f>'ชื่อ-คะแนน'!D18</f>
        <v>0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>
        <f>'ชื่อ-คะแนน'!D19</f>
        <v>0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tabSelected="1"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L8" sqref="L8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468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557"/>
      <c r="AA1" s="1436">
        <f>IF(C6="","",IF(ปก!$D$10="กิจกรรมพัฒนาผู้เรียน","",R5+AA5))</f>
        <v>50</v>
      </c>
      <c r="AB1" s="1436"/>
      <c r="AC1" s="1077" t="str">
        <f>IF(C6="","",IF(ปก!$D$10="กิจกรรมพัฒนาผู้เรียน","",":"))</f>
        <v>:</v>
      </c>
      <c r="AD1" s="1409">
        <f>IF(C6="","",IF(ปก!$D$10="กิจกรรมพัฒนาผู้เรียน","",AM5+AV5))</f>
        <v>50</v>
      </c>
      <c r="AE1" s="1409"/>
      <c r="AF1" s="558" t="str">
        <f>IF(C6="","",IF(ปก!$D$10="กิจกรรมพัฒนาผู้เรียน","",":"))</f>
        <v>:</v>
      </c>
      <c r="AG1" s="1435">
        <f>IF(C6="","",IF(ปก!$D$10="กิจกรรมพัฒนาผู้เรียน","",BJ5+BS5))</f>
        <v>50</v>
      </c>
      <c r="AH1" s="1435"/>
      <c r="AI1" s="559" t="str">
        <f>IF(C6="","",IF(ปก!$D$10="กิจกรรมพัฒนาผู้เรียน","",":"))</f>
        <v>:</v>
      </c>
      <c r="AJ1" s="1409">
        <f>IF(C6="","",IF(ปก!$D$10="กิจกรรมพัฒนาผู้เรียน","",CD5+CM5))</f>
        <v>50</v>
      </c>
      <c r="AK1" s="1409"/>
      <c r="AL1" s="1413" t="str">
        <f>IF(C6="","",IF(ปก!$D$10="กิจกรรมพัฒนาผู้เรียน","","ทั้งปี ="))</f>
        <v>ทั้งปี =</v>
      </c>
      <c r="AM1" s="1413"/>
      <c r="AN1" s="1413"/>
      <c r="AO1" s="1413"/>
      <c r="AP1" s="1413"/>
      <c r="AQ1" s="1413"/>
      <c r="AR1" s="1413"/>
      <c r="AS1" s="1409">
        <f>IF(C6="","",IF(ปก!$D$10="กิจกรรมพัฒนาผู้เรียน","",(AA1+AD1+AG1+CD5)/2))</f>
        <v>90</v>
      </c>
      <c r="AT1" s="1409"/>
      <c r="AU1" s="560"/>
      <c r="AV1" s="561" t="str">
        <f>IF(C6="","",IF(ปก!$D$10="กิจกรรมพัฒนาผู้เรียน","",":"))</f>
        <v>:</v>
      </c>
      <c r="AW1" s="1435">
        <f>IF(C6="","",IF(ปก!$D$10="กิจกรรมพัฒนาผู้เรียน","",CM5/2))</f>
        <v>10</v>
      </c>
      <c r="AX1" s="1435"/>
      <c r="AY1" s="1435"/>
      <c r="AZ1" s="562"/>
      <c r="BA1" s="563"/>
      <c r="BB1" s="563"/>
      <c r="BC1" s="563"/>
      <c r="BD1" s="563"/>
      <c r="BE1" s="563"/>
      <c r="BF1" s="552"/>
      <c r="BG1" s="1486"/>
      <c r="BH1" s="1486"/>
      <c r="BI1" s="1486"/>
      <c r="BJ1" s="1486"/>
      <c r="BK1" s="1486"/>
      <c r="BL1" s="1486"/>
      <c r="BM1" s="1486"/>
      <c r="BN1" s="1486"/>
      <c r="BO1" s="1486"/>
      <c r="BP1" s="1486"/>
      <c r="BQ1" s="1486"/>
      <c r="BR1" s="1486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54"/>
      <c r="CG1" s="1454"/>
      <c r="CH1" s="1454"/>
      <c r="CI1" s="145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61"/>
      <c r="DB1" s="1461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14" t="s">
        <v>10</v>
      </c>
      <c r="B2" s="1417" t="s">
        <v>20</v>
      </c>
      <c r="C2" s="1379" t="s">
        <v>11</v>
      </c>
      <c r="D2" s="1423" t="s">
        <v>143</v>
      </c>
      <c r="E2" s="568"/>
      <c r="F2" s="1420" t="s">
        <v>114</v>
      </c>
      <c r="G2" s="1426" t="str">
        <f>A2</f>
        <v>เลขที่</v>
      </c>
      <c r="H2" s="1429" t="s">
        <v>274</v>
      </c>
      <c r="I2" s="1430"/>
      <c r="J2" s="1430"/>
      <c r="K2" s="1430"/>
      <c r="L2" s="1430"/>
      <c r="M2" s="1430"/>
      <c r="N2" s="1430"/>
      <c r="O2" s="1430"/>
      <c r="P2" s="1430"/>
      <c r="Q2" s="1430"/>
      <c r="R2" s="1431"/>
      <c r="S2" s="1432" t="s">
        <v>12</v>
      </c>
      <c r="T2" s="1433"/>
      <c r="U2" s="1433"/>
      <c r="V2" s="1433"/>
      <c r="W2" s="1433"/>
      <c r="X2" s="1433"/>
      <c r="Y2" s="1433"/>
      <c r="Z2" s="1433"/>
      <c r="AA2" s="1434"/>
      <c r="AB2" s="1390" t="s">
        <v>194</v>
      </c>
      <c r="AC2" s="1400" t="s">
        <v>273</v>
      </c>
      <c r="AD2" s="1401"/>
      <c r="AE2" s="1401"/>
      <c r="AF2" s="1401"/>
      <c r="AG2" s="1401"/>
      <c r="AH2" s="1401"/>
      <c r="AI2" s="1401"/>
      <c r="AJ2" s="1401"/>
      <c r="AK2" s="1401"/>
      <c r="AL2" s="1401"/>
      <c r="AM2" s="1402"/>
      <c r="AN2" s="1410" t="s">
        <v>324</v>
      </c>
      <c r="AO2" s="1411"/>
      <c r="AP2" s="1411"/>
      <c r="AQ2" s="1411"/>
      <c r="AR2" s="1411"/>
      <c r="AS2" s="1411"/>
      <c r="AT2" s="1411"/>
      <c r="AU2" s="1411"/>
      <c r="AV2" s="1412"/>
      <c r="AW2" s="1390" t="s">
        <v>193</v>
      </c>
      <c r="AX2" s="1484"/>
      <c r="AY2" s="1449" t="s">
        <v>13</v>
      </c>
      <c r="AZ2" s="1397" t="str">
        <f>A2</f>
        <v>เลขที่</v>
      </c>
      <c r="BA2" s="1387" t="s">
        <v>275</v>
      </c>
      <c r="BB2" s="1388"/>
      <c r="BC2" s="1388"/>
      <c r="BD2" s="1388"/>
      <c r="BE2" s="1388"/>
      <c r="BF2" s="1388"/>
      <c r="BG2" s="1388"/>
      <c r="BH2" s="1388"/>
      <c r="BI2" s="1388"/>
      <c r="BJ2" s="1389"/>
      <c r="BK2" s="1446" t="s">
        <v>15</v>
      </c>
      <c r="BL2" s="1447"/>
      <c r="BM2" s="1447"/>
      <c r="BN2" s="1447"/>
      <c r="BO2" s="1447"/>
      <c r="BP2" s="1447"/>
      <c r="BQ2" s="1447"/>
      <c r="BR2" s="1447"/>
      <c r="BS2" s="1448"/>
      <c r="BT2" s="1390" t="s">
        <v>195</v>
      </c>
      <c r="BU2" s="1443" t="s">
        <v>276</v>
      </c>
      <c r="BV2" s="1444"/>
      <c r="BW2" s="1444"/>
      <c r="BX2" s="1444"/>
      <c r="BY2" s="1444"/>
      <c r="BZ2" s="1444"/>
      <c r="CA2" s="1444"/>
      <c r="CB2" s="1444"/>
      <c r="CC2" s="1444"/>
      <c r="CD2" s="1445"/>
      <c r="CE2" s="1405"/>
      <c r="CF2" s="1443" t="s">
        <v>317</v>
      </c>
      <c r="CG2" s="1444"/>
      <c r="CH2" s="1444"/>
      <c r="CI2" s="1460"/>
      <c r="CJ2" s="1460"/>
      <c r="CK2" s="1460"/>
      <c r="CL2" s="1460"/>
      <c r="CM2" s="1445"/>
      <c r="CN2" s="1390" t="s">
        <v>196</v>
      </c>
      <c r="CO2" s="569"/>
      <c r="CP2" s="569"/>
      <c r="CQ2" s="1472" t="s">
        <v>129</v>
      </c>
      <c r="CR2" s="1481" t="s">
        <v>130</v>
      </c>
      <c r="CS2" s="570"/>
      <c r="CT2" s="1478" t="s">
        <v>131</v>
      </c>
      <c r="CU2" s="1475" t="s">
        <v>32</v>
      </c>
      <c r="CV2" s="571"/>
      <c r="CW2" s="1475" t="str">
        <f>IF(ปก!$D$10="กิจกรรมพัฒนาผู้เรียน","ผล","ระดับผล")</f>
        <v>ระดับผล</v>
      </c>
      <c r="CX2" s="1469" t="s">
        <v>31</v>
      </c>
      <c r="CY2" s="1469" t="s">
        <v>31</v>
      </c>
      <c r="CZ2" s="1465" t="s">
        <v>14</v>
      </c>
      <c r="DA2" s="1462" t="s">
        <v>10</v>
      </c>
      <c r="DB2" s="1379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407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407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15"/>
      <c r="B3" s="1418"/>
      <c r="C3" s="1380"/>
      <c r="D3" s="1424"/>
      <c r="E3" s="575"/>
      <c r="F3" s="1421"/>
      <c r="G3" s="1427"/>
      <c r="H3" s="1403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384" t="s">
        <v>182</v>
      </c>
      <c r="R3" s="1395" t="s">
        <v>16</v>
      </c>
      <c r="S3" s="579"/>
      <c r="T3" s="577"/>
      <c r="U3" s="577"/>
      <c r="V3" s="577"/>
      <c r="W3" s="577"/>
      <c r="X3" s="580"/>
      <c r="Y3" s="1437" t="s">
        <v>120</v>
      </c>
      <c r="Z3" s="581"/>
      <c r="AA3" s="1395" t="s">
        <v>16</v>
      </c>
      <c r="AB3" s="1391"/>
      <c r="AC3" s="1403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384" t="s">
        <v>182</v>
      </c>
      <c r="AM3" s="1395" t="s">
        <v>16</v>
      </c>
      <c r="AN3" s="579"/>
      <c r="AO3" s="577"/>
      <c r="AP3" s="577"/>
      <c r="AQ3" s="577"/>
      <c r="AR3" s="577"/>
      <c r="AS3" s="577"/>
      <c r="AT3" s="1441" t="s">
        <v>120</v>
      </c>
      <c r="AU3" s="582"/>
      <c r="AV3" s="1395" t="s">
        <v>16</v>
      </c>
      <c r="AW3" s="1391"/>
      <c r="AX3" s="1485"/>
      <c r="AY3" s="1450"/>
      <c r="AZ3" s="1398"/>
      <c r="BA3" s="1403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384" t="s">
        <v>182</v>
      </c>
      <c r="BJ3" s="1393" t="s">
        <v>16</v>
      </c>
      <c r="BK3" s="579"/>
      <c r="BL3" s="577"/>
      <c r="BM3" s="577"/>
      <c r="BN3" s="577"/>
      <c r="BO3" s="577"/>
      <c r="BP3" s="580"/>
      <c r="BQ3" s="1439" t="s">
        <v>120</v>
      </c>
      <c r="BR3" s="583"/>
      <c r="BS3" s="1393" t="s">
        <v>16</v>
      </c>
      <c r="BT3" s="1391"/>
      <c r="BU3" s="1403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384" t="s">
        <v>182</v>
      </c>
      <c r="CD3" s="1393" t="s">
        <v>16</v>
      </c>
      <c r="CE3" s="1406"/>
      <c r="CF3" s="579"/>
      <c r="CG3" s="577"/>
      <c r="CH3" s="580"/>
      <c r="CI3" s="1491" t="str">
        <f>IF($CJ$1="","","รวมปลาย")</f>
        <v/>
      </c>
      <c r="CJ3" s="1489" t="str">
        <f>IF($CJ$1="","","ร้อยละ "&amp;CJ1)</f>
        <v/>
      </c>
      <c r="CK3" s="1493" t="str">
        <f>IF($CJ$1="","","สอบกลาง")</f>
        <v/>
      </c>
      <c r="CL3" s="1452" t="str">
        <f>IF($CJ$1="","","ร้อยละ "&amp;CL1)</f>
        <v/>
      </c>
      <c r="CM3" s="1487" t="s">
        <v>16</v>
      </c>
      <c r="CN3" s="1391"/>
      <c r="CO3" s="584"/>
      <c r="CP3" s="584"/>
      <c r="CQ3" s="1473"/>
      <c r="CR3" s="1482"/>
      <c r="CS3" s="585"/>
      <c r="CT3" s="1479"/>
      <c r="CU3" s="1476"/>
      <c r="CV3" s="586"/>
      <c r="CW3" s="1476"/>
      <c r="CX3" s="1470"/>
      <c r="CY3" s="1470"/>
      <c r="CZ3" s="1466"/>
      <c r="DA3" s="1463"/>
      <c r="DB3" s="1380"/>
      <c r="DC3" s="1456" t="s">
        <v>339</v>
      </c>
      <c r="DD3" s="1458" t="s">
        <v>340</v>
      </c>
      <c r="DE3" s="1458" t="s">
        <v>341</v>
      </c>
      <c r="DF3" s="1458" t="s">
        <v>342</v>
      </c>
      <c r="DG3" s="1458" t="s">
        <v>343</v>
      </c>
      <c r="DH3" s="1408"/>
      <c r="DI3" s="1382" t="s">
        <v>344</v>
      </c>
      <c r="DJ3" s="1382" t="s">
        <v>345</v>
      </c>
      <c r="DK3" s="1382" t="s">
        <v>346</v>
      </c>
      <c r="DL3" s="1382" t="s">
        <v>347</v>
      </c>
      <c r="DM3" s="1382" t="s">
        <v>348</v>
      </c>
      <c r="DN3" s="1382" t="s">
        <v>349</v>
      </c>
      <c r="DO3" s="1382" t="s">
        <v>350</v>
      </c>
      <c r="DP3" s="1382" t="s">
        <v>351</v>
      </c>
      <c r="DQ3" s="1382" t="str">
        <f>IF(DQ2="","","คุณลักษณฯ "&amp;DQ2)</f>
        <v/>
      </c>
      <c r="DR3" s="1382" t="str">
        <f>IF(DR2="","","คุณลักษณฯ "&amp;DR2)</f>
        <v/>
      </c>
      <c r="DS3" s="1408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15"/>
      <c r="B4" s="1418"/>
      <c r="C4" s="1380"/>
      <c r="D4" s="1424"/>
      <c r="E4" s="575"/>
      <c r="F4" s="1421"/>
      <c r="G4" s="1427"/>
      <c r="H4" s="1404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385"/>
      <c r="R4" s="1396"/>
      <c r="S4" s="590" t="s">
        <v>181</v>
      </c>
      <c r="T4" s="590" t="s">
        <v>181</v>
      </c>
      <c r="U4" s="590"/>
      <c r="V4" s="591"/>
      <c r="W4" s="591"/>
      <c r="X4" s="592"/>
      <c r="Y4" s="1438"/>
      <c r="Z4" s="581"/>
      <c r="AA4" s="1396"/>
      <c r="AB4" s="1392"/>
      <c r="AC4" s="1404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385"/>
      <c r="AM4" s="1396"/>
      <c r="AN4" s="590" t="s">
        <v>180</v>
      </c>
      <c r="AO4" s="590" t="s">
        <v>180</v>
      </c>
      <c r="AP4" s="590"/>
      <c r="AQ4" s="591"/>
      <c r="AR4" s="591"/>
      <c r="AS4" s="592"/>
      <c r="AT4" s="1442"/>
      <c r="AU4" s="582"/>
      <c r="AV4" s="1396"/>
      <c r="AW4" s="1392"/>
      <c r="AX4" s="594"/>
      <c r="AY4" s="1451"/>
      <c r="AZ4" s="1398"/>
      <c r="BA4" s="1404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385"/>
      <c r="BJ4" s="1394"/>
      <c r="BK4" s="590" t="s">
        <v>180</v>
      </c>
      <c r="BL4" s="590" t="s">
        <v>180</v>
      </c>
      <c r="BM4" s="590"/>
      <c r="BN4" s="590"/>
      <c r="BO4" s="591"/>
      <c r="BP4" s="592"/>
      <c r="BQ4" s="1440"/>
      <c r="BR4" s="583"/>
      <c r="BS4" s="1394"/>
      <c r="BT4" s="1392"/>
      <c r="BU4" s="1404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385"/>
      <c r="CD4" s="1394"/>
      <c r="CE4" s="595"/>
      <c r="CF4" s="590" t="s">
        <v>180</v>
      </c>
      <c r="CG4" s="590" t="s">
        <v>180</v>
      </c>
      <c r="CH4" s="596"/>
      <c r="CI4" s="1492"/>
      <c r="CJ4" s="1490"/>
      <c r="CK4" s="1494"/>
      <c r="CL4" s="1453"/>
      <c r="CM4" s="1488"/>
      <c r="CN4" s="1392"/>
      <c r="CO4" s="597"/>
      <c r="CP4" s="597"/>
      <c r="CQ4" s="1474"/>
      <c r="CR4" s="1483"/>
      <c r="CS4" s="598"/>
      <c r="CT4" s="1480"/>
      <c r="CU4" s="1476"/>
      <c r="CV4" s="586"/>
      <c r="CW4" s="1476"/>
      <c r="CX4" s="1470"/>
      <c r="CY4" s="1470"/>
      <c r="CZ4" s="1466"/>
      <c r="DA4" s="1463"/>
      <c r="DB4" s="1380"/>
      <c r="DC4" s="1457"/>
      <c r="DD4" s="1459"/>
      <c r="DE4" s="1459"/>
      <c r="DF4" s="1459"/>
      <c r="DG4" s="1459"/>
      <c r="DH4" s="1408"/>
      <c r="DI4" s="1383"/>
      <c r="DJ4" s="1383"/>
      <c r="DK4" s="1383"/>
      <c r="DL4" s="1383"/>
      <c r="DM4" s="1383"/>
      <c r="DN4" s="1383"/>
      <c r="DO4" s="1383"/>
      <c r="DP4" s="1383"/>
      <c r="DQ4" s="1383"/>
      <c r="DR4" s="1383"/>
      <c r="DS4" s="1408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16"/>
      <c r="B5" s="1419"/>
      <c r="C5" s="1381"/>
      <c r="D5" s="1425"/>
      <c r="E5" s="599"/>
      <c r="F5" s="1422"/>
      <c r="G5" s="1428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386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386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399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386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386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477"/>
      <c r="CV5" s="616"/>
      <c r="CW5" s="1477"/>
      <c r="CX5" s="1471"/>
      <c r="CY5" s="1471"/>
      <c r="CZ5" s="1467"/>
      <c r="DA5" s="1464"/>
      <c r="DB5" s="1381"/>
      <c r="DC5" s="1457"/>
      <c r="DD5" s="1459"/>
      <c r="DE5" s="1459"/>
      <c r="DF5" s="1459"/>
      <c r="DG5" s="1459"/>
      <c r="DH5" s="1408"/>
      <c r="DI5" s="1383"/>
      <c r="DJ5" s="1383"/>
      <c r="DK5" s="1383"/>
      <c r="DL5" s="1383"/>
      <c r="DM5" s="1383"/>
      <c r="DN5" s="1383"/>
      <c r="DO5" s="1383"/>
      <c r="DP5" s="1383"/>
      <c r="DQ5" s="1383"/>
      <c r="DR5" s="1383"/>
      <c r="DS5" s="1408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408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 t="s">
        <v>420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เด็กหญิง กรรณิการ์  สุวะเลิศ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495" t="s">
        <v>352</v>
      </c>
      <c r="DV6" s="1495"/>
      <c r="DW6" s="1495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409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 t="s">
        <v>421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ณัฐรัตน์  สุริยะทา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410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 t="s">
        <v>422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เด็กชาย ตุลากาล  กาวิน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411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 t="s">
        <v>423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เด็กชาย ธนบูรณ์  สุภาดี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412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 t="s">
        <v>424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พีรกร  บุญฉิม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413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 t="s">
        <v>425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ภัทรวรรณ  ชาวิชัย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414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 t="s">
        <v>426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เด็กหญิง ศลักษณ์พร  บุญมา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415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 t="s">
        <v>427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เด็กชาย สิทธิชัย  สุขอ่วม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416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 t="s">
        <v>428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สามเณร ซอยือเล  -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417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 t="s">
        <v>429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สามเณร ตาเบโอ  -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418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 t="s">
        <v>430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สามเณร เนาะหน่อโพ  -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419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 t="s">
        <v>431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สามเณร ยะเพอ  -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 t="str">
        <f t="shared" si="30"/>
        <v/>
      </c>
      <c r="B18" s="646"/>
      <c r="C18" s="647"/>
      <c r="D18" s="620"/>
      <c r="E18" s="690"/>
      <c r="F18" s="696"/>
      <c r="G18" s="697" t="str">
        <f t="shared" si="1"/>
        <v/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 t="str">
        <f t="shared" si="2"/>
        <v/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 t="str">
        <f t="shared" si="4"/>
        <v/>
      </c>
      <c r="AB18" s="1019" t="str">
        <f t="shared" si="5"/>
        <v/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 t="str">
        <f t="shared" si="6"/>
        <v/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 t="str">
        <f t="shared" si="8"/>
        <v/>
      </c>
      <c r="AW18" s="1019" t="str">
        <f t="shared" si="9"/>
        <v/>
      </c>
      <c r="AX18" s="654" t="str">
        <f t="shared" si="10"/>
        <v/>
      </c>
      <c r="AY18" s="655" t="str">
        <f>IF(C18="","",IF(AX18="ผิด","ผิด",IF(AX18="","-",IF(AX18="-","-",IF(AX18&gt;100,"&gt;100",IF(ปก!$D$10="กิจกรรมพัฒนาผู้เรียน",(AX18/$AX$5)*100,AX18))))))</f>
        <v/>
      </c>
      <c r="AZ18" s="656" t="str">
        <f t="shared" si="11"/>
        <v/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 t="str">
        <f t="shared" si="12"/>
        <v/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 t="str">
        <f t="shared" si="13"/>
        <v/>
      </c>
      <c r="BT18" s="1019" t="str">
        <f t="shared" si="14"/>
        <v/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 t="str">
        <f t="shared" si="15"/>
        <v/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 t="str">
        <f t="shared" si="19"/>
        <v/>
      </c>
      <c r="CN18" s="1019" t="str">
        <f t="shared" si="20"/>
        <v/>
      </c>
      <c r="CO18" s="626" t="str">
        <f t="shared" si="21"/>
        <v/>
      </c>
      <c r="CP18" s="698" t="str">
        <f t="shared" si="22"/>
        <v/>
      </c>
      <c r="CQ18" s="659" t="str">
        <f>IF(C18="","",IF(BJ18=0,0,IF(CM18="ผิด","ผิด",IF(CM18="","-",IF(CP18="-","-",IF(CP18&gt;100,"&gt;100",IF(ปก!$D$10="กิจกรรมพัฒนาผู้เรียน",((CP18)/($CP$5)*100),CP18)))))))</f>
        <v/>
      </c>
      <c r="CR18" s="699" t="str">
        <f t="shared" si="23"/>
        <v/>
      </c>
      <c r="CS18" s="700" t="str">
        <f t="shared" si="24"/>
        <v/>
      </c>
      <c r="CT18" s="662" t="str">
        <f>IF(C18="","",IF(BJ18=0,0,IF(CS18="-","-",IF(CM18="ผิด","ผิด",IF(CS18&gt;100,"เกิน",IF(ปก!$D$10="กิจกรรมพัฒนาผู้เรียน",(CS18/$CS$5*100),CS18))))))</f>
        <v/>
      </c>
      <c r="CU18" s="701" t="str">
        <f t="shared" si="25"/>
        <v/>
      </c>
      <c r="CV18" s="641" t="str">
        <f>IF(CM18="","",IF(CM18="ผิด","",IF(ปก!$D$10="กิจกรรมพัฒนาผู้เรียน",(VLOOKUP(CT18,CC$69:CE$71,3)),CU18)))</f>
        <v/>
      </c>
      <c r="CW18" s="1160" t="str">
        <f t="shared" si="26"/>
        <v/>
      </c>
      <c r="CX18" s="665" t="str">
        <f t="shared" si="27"/>
        <v/>
      </c>
      <c r="CY18" s="665" t="str">
        <f t="shared" si="28"/>
        <v/>
      </c>
      <c r="CZ18" s="666"/>
      <c r="DA18" s="1206" t="str">
        <f t="shared" si="29"/>
        <v/>
      </c>
      <c r="DB18" s="1250" t="str">
        <f t="shared" si="32"/>
        <v/>
      </c>
      <c r="DC18" s="1126" t="str">
        <f>IF($C18="","",IF(ปก!$C$10="กิจกรรมพัฒนาผู้เรียน","-",IF($D18="พัก","-",IF($D18="ออก","-",VLOOKUP($CW18,$DU$7:$DW$12,3)))))</f>
        <v/>
      </c>
      <c r="DD18" s="1126" t="str">
        <f>IF($C18="","",IF(ปก!$C$10="กิจกรรมพัฒนาผู้เรียน","-",IF($D18="พัก","-",IF($D18="ออก","-",VLOOKUP($CW18,$DU$7:$DW$12,3)))))</f>
        <v/>
      </c>
      <c r="DE18" s="1126" t="str">
        <f>IF($C18="","",IF(ปก!$C$10="กิจกรรมพัฒนาผู้เรียน","-",IF($D18="พัก","-",IF($D18="ออก","-",VLOOKUP($CW18,$DU$7:$DW$12,3)))))</f>
        <v/>
      </c>
      <c r="DF18" s="1126" t="str">
        <f>IF($C18="","",IF(ปก!$C$10="กิจกรรมพัฒนาผู้เรียน","-",IF($D18="พัก","-",IF($D18="ออก","-",VLOOKUP($CW18,$DU$7:$DW$12,3)))))</f>
        <v/>
      </c>
      <c r="DG18" s="1126" t="str">
        <f>IF($C18="","",IF(ปก!$C$10="กิจกรรมพัฒนาผู้เรียน","-",IF($D18="พัก","-",IF($D18="ออก","-",VLOOKUP($CW18,$DU$7:$DW$12,3)))))</f>
        <v/>
      </c>
      <c r="DH18" s="1190" t="str">
        <f>IF($C18="","",IF(ปก!$C$10="กิจกรรมพัฒนาผู้เรียน","-",IF($D18="พัก","-",IF($D18="ออก","-",(ROUND(MODE(DC18:DG18),0))))))</f>
        <v/>
      </c>
      <c r="DI18" s="1191" t="str">
        <f>IF($C18="","",IF(ปก!$C$10="กิจกรรมพัฒนาผู้เรียน","-",IF($D18="พัก","-",IF($D18="ออก","-",VLOOKUP($CW18,$DU$7:$DW$12,3)))))</f>
        <v/>
      </c>
      <c r="DJ18" s="1191" t="str">
        <f>IF($C18="","",IF(ปก!$C$10="กิจกรรมพัฒนาผู้เรียน","-",IF($D18="พัก","-",IF($D18="ออก","-",VLOOKUP($CW18,$DU$7:$DW$12,3)))))</f>
        <v/>
      </c>
      <c r="DK18" s="1191" t="str">
        <f>IF($C18="","",IF(ปก!$C$10="กิจกรรมพัฒนาผู้เรียน","-",IF($D18="พัก","-",IF($D18="ออก","-",VLOOKUP($CW18,$DU$7:$DW$12,3)))))</f>
        <v/>
      </c>
      <c r="DL18" s="1191" t="str">
        <f>IF($C18="","",IF(ปก!$C$10="กิจกรรมพัฒนาผู้เรียน","-",IF($D18="พัก","-",IF($D18="ออก","-",VLOOKUP($CW18,$DU$7:$DW$12,3)))))</f>
        <v/>
      </c>
      <c r="DM18" s="1191" t="str">
        <f>IF($C18="","",IF(ปก!$C$10="กิจกรรมพัฒนาผู้เรียน","-",IF($D18="พัก","-",IF($D18="ออก","-",VLOOKUP($CW18,$DU$7:$DW$12,3)))))</f>
        <v/>
      </c>
      <c r="DN18" s="1191" t="str">
        <f>IF($C18="","",IF(ปก!$C$10="กิจกรรมพัฒนาผู้เรียน","-",IF($D18="พัก","-",IF($D18="ออก","-",VLOOKUP($CW18,$DU$7:$DW$12,3)))))</f>
        <v/>
      </c>
      <c r="DO18" s="1191" t="str">
        <f>IF($C18="","",IF(ปก!$C$10="กิจกรรมพัฒนาผู้เรียน","-",IF($D18="พัก","-",IF($D18="ออก","-",VLOOKUP($CW18,$DU$7:$DW$12,3)))))</f>
        <v/>
      </c>
      <c r="DP18" s="1191" t="str">
        <f>IF($C18="","",IF(ปก!$C$10="กิจกรรมพัฒนาผู้เรียน","-",IF($D18="พัก","-",IF($D18="ออก","-",VLOOKUP($CW18,$DU$7:$DW$12,3)))))</f>
        <v/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 t="str">
        <f>IF($C18="","",IF(ปก!$C$10="กิจกรรมพัฒนาผู้เรียน","-",IF($D18="พัก","-",IF($D18="ออก","-",(ROUND(MODE(DI18:DQ18),0))))))</f>
        <v/>
      </c>
      <c r="DT18" s="1377"/>
      <c r="DU18" s="1378"/>
      <c r="DV18" s="1378"/>
      <c r="DW18" s="1378"/>
      <c r="DX18" s="1378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 t="str">
        <f t="shared" si="30"/>
        <v/>
      </c>
      <c r="B19" s="646"/>
      <c r="C19" s="647"/>
      <c r="D19" s="620"/>
      <c r="E19" s="690"/>
      <c r="F19" s="696"/>
      <c r="G19" s="697" t="str">
        <f t="shared" si="1"/>
        <v/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 t="str">
        <f t="shared" si="2"/>
        <v/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 t="str">
        <f t="shared" si="4"/>
        <v/>
      </c>
      <c r="AB19" s="1019" t="str">
        <f t="shared" si="5"/>
        <v/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 t="str">
        <f t="shared" si="6"/>
        <v/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 t="str">
        <f t="shared" si="8"/>
        <v/>
      </c>
      <c r="AW19" s="1019" t="str">
        <f t="shared" si="9"/>
        <v/>
      </c>
      <c r="AX19" s="654" t="str">
        <f t="shared" si="10"/>
        <v/>
      </c>
      <c r="AY19" s="655" t="str">
        <f>IF(C19="","",IF(AX19="ผิด","ผิด",IF(AX19="","-",IF(AX19="-","-",IF(AX19&gt;100,"&gt;100",IF(ปก!$D$10="กิจกรรมพัฒนาผู้เรียน",(AX19/$AX$5)*100,AX19))))))</f>
        <v/>
      </c>
      <c r="AZ19" s="656" t="str">
        <f t="shared" si="11"/>
        <v/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 t="str">
        <f t="shared" si="12"/>
        <v/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 t="str">
        <f t="shared" si="13"/>
        <v/>
      </c>
      <c r="BT19" s="1019" t="str">
        <f t="shared" si="14"/>
        <v/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 t="str">
        <f t="shared" si="15"/>
        <v/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 t="str">
        <f t="shared" si="19"/>
        <v/>
      </c>
      <c r="CN19" s="1019" t="str">
        <f t="shared" si="20"/>
        <v/>
      </c>
      <c r="CO19" s="626" t="str">
        <f t="shared" si="21"/>
        <v/>
      </c>
      <c r="CP19" s="698" t="str">
        <f t="shared" si="22"/>
        <v/>
      </c>
      <c r="CQ19" s="659" t="str">
        <f>IF(C19="","",IF(BJ19=0,0,IF(CM19="ผิด","ผิด",IF(CM19="","-",IF(CP19="-","-",IF(CP19&gt;100,"&gt;100",IF(ปก!$D$10="กิจกรรมพัฒนาผู้เรียน",((CP19)/($CP$5)*100),CP19)))))))</f>
        <v/>
      </c>
      <c r="CR19" s="699" t="str">
        <f t="shared" si="23"/>
        <v/>
      </c>
      <c r="CS19" s="700" t="str">
        <f t="shared" si="24"/>
        <v/>
      </c>
      <c r="CT19" s="662" t="str">
        <f>IF(C19="","",IF(BJ19=0,0,IF(CS19="-","-",IF(CM19="ผิด","ผิด",IF(CS19&gt;100,"เกิน",IF(ปก!$D$10="กิจกรรมพัฒนาผู้เรียน",(CS19/$CS$5*100),CS19))))))</f>
        <v/>
      </c>
      <c r="CU19" s="701" t="str">
        <f t="shared" si="25"/>
        <v/>
      </c>
      <c r="CV19" s="641" t="str">
        <f>IF(CM19="","",IF(CM19="ผิด","",IF(ปก!$D$10="กิจกรรมพัฒนาผู้เรียน",(VLOOKUP(CT19,CC$69:CE$71,3)),CU19)))</f>
        <v/>
      </c>
      <c r="CW19" s="1160" t="str">
        <f t="shared" si="26"/>
        <v/>
      </c>
      <c r="CX19" s="665" t="str">
        <f t="shared" si="27"/>
        <v/>
      </c>
      <c r="CY19" s="665" t="str">
        <f t="shared" si="28"/>
        <v/>
      </c>
      <c r="CZ19" s="666"/>
      <c r="DA19" s="1206" t="str">
        <f t="shared" si="29"/>
        <v/>
      </c>
      <c r="DB19" s="1250" t="str">
        <f t="shared" si="32"/>
        <v/>
      </c>
      <c r="DC19" s="1126" t="str">
        <f>IF($C19="","",IF(ปก!$C$10="กิจกรรมพัฒนาผู้เรียน","-",IF($D19="พัก","-",IF($D19="ออก","-",VLOOKUP($CW19,$DU$7:$DW$12,3)))))</f>
        <v/>
      </c>
      <c r="DD19" s="1126" t="str">
        <f>IF($C19="","",IF(ปก!$C$10="กิจกรรมพัฒนาผู้เรียน","-",IF($D19="พัก","-",IF($D19="ออก","-",VLOOKUP($CW19,$DU$7:$DW$12,3)))))</f>
        <v/>
      </c>
      <c r="DE19" s="1126" t="str">
        <f>IF($C19="","",IF(ปก!$C$10="กิจกรรมพัฒนาผู้เรียน","-",IF($D19="พัก","-",IF($D19="ออก","-",VLOOKUP($CW19,$DU$7:$DW$12,3)))))</f>
        <v/>
      </c>
      <c r="DF19" s="1126" t="str">
        <f>IF($C19="","",IF(ปก!$C$10="กิจกรรมพัฒนาผู้เรียน","-",IF($D19="พัก","-",IF($D19="ออก","-",VLOOKUP($CW19,$DU$7:$DW$12,3)))))</f>
        <v/>
      </c>
      <c r="DG19" s="1126" t="str">
        <f>IF($C19="","",IF(ปก!$C$10="กิจกรรมพัฒนาผู้เรียน","-",IF($D19="พัก","-",IF($D19="ออก","-",VLOOKUP($CW19,$DU$7:$DW$12,3)))))</f>
        <v/>
      </c>
      <c r="DH19" s="1190" t="str">
        <f>IF($C19="","",IF(ปก!$C$10="กิจกรรมพัฒนาผู้เรียน","-",IF($D19="พัก","-",IF($D19="ออก","-",(ROUND(MODE(DC19:DG19),0))))))</f>
        <v/>
      </c>
      <c r="DI19" s="1191" t="str">
        <f>IF($C19="","",IF(ปก!$C$10="กิจกรรมพัฒนาผู้เรียน","-",IF($D19="พัก","-",IF($D19="ออก","-",VLOOKUP($CW19,$DU$7:$DW$12,3)))))</f>
        <v/>
      </c>
      <c r="DJ19" s="1191" t="str">
        <f>IF($C19="","",IF(ปก!$C$10="กิจกรรมพัฒนาผู้เรียน","-",IF($D19="พัก","-",IF($D19="ออก","-",VLOOKUP($CW19,$DU$7:$DW$12,3)))))</f>
        <v/>
      </c>
      <c r="DK19" s="1191" t="str">
        <f>IF($C19="","",IF(ปก!$C$10="กิจกรรมพัฒนาผู้เรียน","-",IF($D19="พัก","-",IF($D19="ออก","-",VLOOKUP($CW19,$DU$7:$DW$12,3)))))</f>
        <v/>
      </c>
      <c r="DL19" s="1191" t="str">
        <f>IF($C19="","",IF(ปก!$C$10="กิจกรรมพัฒนาผู้เรียน","-",IF($D19="พัก","-",IF($D19="ออก","-",VLOOKUP($CW19,$DU$7:$DW$12,3)))))</f>
        <v/>
      </c>
      <c r="DM19" s="1191" t="str">
        <f>IF($C19="","",IF(ปก!$C$10="กิจกรรมพัฒนาผู้เรียน","-",IF($D19="พัก","-",IF($D19="ออก","-",VLOOKUP($CW19,$DU$7:$DW$12,3)))))</f>
        <v/>
      </c>
      <c r="DN19" s="1191" t="str">
        <f>IF($C19="","",IF(ปก!$C$10="กิจกรรมพัฒนาผู้เรียน","-",IF($D19="พัก","-",IF($D19="ออก","-",VLOOKUP($CW19,$DU$7:$DW$12,3)))))</f>
        <v/>
      </c>
      <c r="DO19" s="1191" t="str">
        <f>IF($C19="","",IF(ปก!$C$10="กิจกรรมพัฒนาผู้เรียน","-",IF($D19="พัก","-",IF($D19="ออก","-",VLOOKUP($CW19,$DU$7:$DW$12,3)))))</f>
        <v/>
      </c>
      <c r="DP19" s="1191" t="str">
        <f>IF($C19="","",IF(ปก!$C$10="กิจกรรมพัฒนาผู้เรียน","-",IF($D19="พัก","-",IF($D19="ออก","-",VLOOKUP($CW19,$DU$7:$DW$12,3)))))</f>
        <v/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 t="str">
        <f>IF($C19="","",IF(ปก!$C$10="กิจกรรมพัฒนาผู้เรียน","-",IF($D19="พัก","-",IF($D19="ออก","-",(ROUND(MODE(DI19:DQ19),0))))))</f>
        <v/>
      </c>
      <c r="DT19" s="1375"/>
      <c r="DU19" s="1376"/>
      <c r="DV19" s="1376"/>
      <c r="DW19" s="1376"/>
      <c r="DX19" s="1376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2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3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3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12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12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12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12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12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12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3"/>
      <c r="D1" s="1523"/>
      <c r="E1" s="915"/>
      <c r="F1" s="1524">
        <f>ปก!$O$36</f>
        <v>45061</v>
      </c>
      <c r="G1" s="1524"/>
      <c r="H1" s="1524"/>
      <c r="I1" s="1524"/>
      <c r="J1" s="1524"/>
      <c r="K1" s="1524"/>
      <c r="L1" s="1524"/>
      <c r="M1" s="1524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'ชื่อ-คะแนน'!$D$2</f>
        <v>สถานะนักเรียน</v>
      </c>
      <c r="E2" s="925"/>
      <c r="F2" s="1496" t="s">
        <v>88</v>
      </c>
      <c r="G2" s="1497"/>
      <c r="H2" s="1497"/>
      <c r="I2" s="1497"/>
      <c r="J2" s="1498"/>
      <c r="K2" s="926"/>
      <c r="L2" s="1496" t="s">
        <v>89</v>
      </c>
      <c r="M2" s="1497"/>
      <c r="N2" s="1497"/>
      <c r="O2" s="1497"/>
      <c r="P2" s="1498"/>
      <c r="Q2" s="926"/>
      <c r="R2" s="1496" t="s">
        <v>90</v>
      </c>
      <c r="S2" s="1497"/>
      <c r="T2" s="1497"/>
      <c r="U2" s="1497"/>
      <c r="V2" s="1498"/>
      <c r="W2" s="926"/>
      <c r="X2" s="1496" t="s">
        <v>91</v>
      </c>
      <c r="Y2" s="1497"/>
      <c r="Z2" s="1497"/>
      <c r="AA2" s="1497"/>
      <c r="AB2" s="1498"/>
      <c r="AC2" s="926"/>
      <c r="AD2" s="1496" t="s">
        <v>92</v>
      </c>
      <c r="AE2" s="1497"/>
      <c r="AF2" s="1497"/>
      <c r="AG2" s="1497"/>
      <c r="AH2" s="1498"/>
      <c r="AI2" s="926"/>
      <c r="AJ2" s="1496" t="s">
        <v>93</v>
      </c>
      <c r="AK2" s="1497"/>
      <c r="AL2" s="1497"/>
      <c r="AM2" s="1497"/>
      <c r="AN2" s="1498"/>
      <c r="AO2" s="926"/>
      <c r="AP2" s="1496" t="s">
        <v>94</v>
      </c>
      <c r="AQ2" s="1497"/>
      <c r="AR2" s="1497"/>
      <c r="AS2" s="1497"/>
      <c r="AT2" s="1498"/>
      <c r="AU2" s="926"/>
      <c r="AV2" s="1496" t="s">
        <v>95</v>
      </c>
      <c r="AW2" s="1497"/>
      <c r="AX2" s="1497"/>
      <c r="AY2" s="1497"/>
      <c r="AZ2" s="1498"/>
      <c r="BA2" s="926"/>
      <c r="BB2" s="1496" t="s">
        <v>96</v>
      </c>
      <c r="BC2" s="1497"/>
      <c r="BD2" s="1497"/>
      <c r="BE2" s="1497"/>
      <c r="BF2" s="1498"/>
      <c r="BG2" s="926"/>
      <c r="BH2" s="1525" t="s">
        <v>97</v>
      </c>
      <c r="BI2" s="1526"/>
      <c r="BJ2" s="1526"/>
      <c r="BK2" s="1526"/>
      <c r="BL2" s="1527"/>
      <c r="BM2" s="927"/>
      <c r="BN2" s="1496" t="s">
        <v>98</v>
      </c>
      <c r="BO2" s="1497"/>
      <c r="BP2" s="1497"/>
      <c r="BQ2" s="1497"/>
      <c r="BR2" s="1498"/>
      <c r="BS2" s="926"/>
      <c r="BT2" s="1496" t="s">
        <v>99</v>
      </c>
      <c r="BU2" s="1497"/>
      <c r="BV2" s="1497"/>
      <c r="BW2" s="1497"/>
      <c r="BX2" s="1498"/>
      <c r="BY2" s="926"/>
      <c r="BZ2" s="1496" t="s">
        <v>100</v>
      </c>
      <c r="CA2" s="1497"/>
      <c r="CB2" s="1497"/>
      <c r="CC2" s="1497"/>
      <c r="CD2" s="1498"/>
      <c r="CE2" s="926"/>
      <c r="CF2" s="1496" t="s">
        <v>101</v>
      </c>
      <c r="CG2" s="1497"/>
      <c r="CH2" s="1497"/>
      <c r="CI2" s="1497"/>
      <c r="CJ2" s="1498"/>
      <c r="CK2" s="926"/>
      <c r="CL2" s="1496" t="s">
        <v>102</v>
      </c>
      <c r="CM2" s="1497"/>
      <c r="CN2" s="1497"/>
      <c r="CO2" s="1497"/>
      <c r="CP2" s="1498"/>
      <c r="CQ2" s="926"/>
      <c r="CR2" s="1496" t="s">
        <v>103</v>
      </c>
      <c r="CS2" s="1497"/>
      <c r="CT2" s="1497"/>
      <c r="CU2" s="1497"/>
      <c r="CV2" s="1498"/>
      <c r="CW2" s="926"/>
      <c r="CX2" s="1496" t="s">
        <v>104</v>
      </c>
      <c r="CY2" s="1497"/>
      <c r="CZ2" s="1497"/>
      <c r="DA2" s="1497"/>
      <c r="DB2" s="1498"/>
      <c r="DC2" s="926"/>
      <c r="DD2" s="1496" t="s">
        <v>105</v>
      </c>
      <c r="DE2" s="1497"/>
      <c r="DF2" s="1497"/>
      <c r="DG2" s="1497"/>
      <c r="DH2" s="1498"/>
      <c r="DI2" s="926"/>
      <c r="DJ2" s="1496" t="s">
        <v>106</v>
      </c>
      <c r="DK2" s="1497"/>
      <c r="DL2" s="1497"/>
      <c r="DM2" s="1497"/>
      <c r="DN2" s="1498"/>
      <c r="DO2" s="926"/>
      <c r="DP2" s="1538" t="s">
        <v>107</v>
      </c>
      <c r="DQ2" s="1539"/>
      <c r="DR2" s="1539"/>
      <c r="DS2" s="1539"/>
      <c r="DT2" s="1540"/>
      <c r="DU2" s="926"/>
      <c r="DV2" s="1496" t="s">
        <v>110</v>
      </c>
      <c r="DW2" s="1497"/>
      <c r="DX2" s="1497"/>
      <c r="DY2" s="1497"/>
      <c r="DZ2" s="1498"/>
      <c r="EA2" s="926"/>
      <c r="EB2" s="1496" t="s">
        <v>111</v>
      </c>
      <c r="EC2" s="1497"/>
      <c r="ED2" s="1497"/>
      <c r="EE2" s="1497"/>
      <c r="EF2" s="1498"/>
      <c r="EG2" s="928"/>
      <c r="EH2" s="1541" t="s">
        <v>239</v>
      </c>
      <c r="EI2" s="929" t="s">
        <v>213</v>
      </c>
      <c r="EJ2" s="153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11"/>
      <c r="B3" s="1514"/>
      <c r="C3" s="1380"/>
      <c r="D3" s="1517"/>
      <c r="E3" s="930"/>
      <c r="F3" s="1501">
        <f>F1</f>
        <v>45061</v>
      </c>
      <c r="G3" s="1503">
        <f>F3+1</f>
        <v>45062</v>
      </c>
      <c r="H3" s="1499">
        <f>G3+1</f>
        <v>45063</v>
      </c>
      <c r="I3" s="1503">
        <f>H3+1</f>
        <v>45064</v>
      </c>
      <c r="J3" s="1505">
        <f>I3+1</f>
        <v>45065</v>
      </c>
      <c r="K3" s="931"/>
      <c r="L3" s="1530">
        <f>J3+3</f>
        <v>45068</v>
      </c>
      <c r="M3" s="1499">
        <f>L3+1</f>
        <v>45069</v>
      </c>
      <c r="N3" s="1503">
        <f>M3+1</f>
        <v>45070</v>
      </c>
      <c r="O3" s="1499">
        <f>N3+1</f>
        <v>45071</v>
      </c>
      <c r="P3" s="1521">
        <f>O3+1</f>
        <v>45072</v>
      </c>
      <c r="Q3" s="932"/>
      <c r="R3" s="1501">
        <f>P3+3</f>
        <v>45075</v>
      </c>
      <c r="S3" s="1503">
        <f>R3+1</f>
        <v>45076</v>
      </c>
      <c r="T3" s="1499">
        <f>S3+1</f>
        <v>45077</v>
      </c>
      <c r="U3" s="1503">
        <f>T3+1</f>
        <v>45078</v>
      </c>
      <c r="V3" s="1505">
        <f>U3+1</f>
        <v>45079</v>
      </c>
      <c r="W3" s="931"/>
      <c r="X3" s="1501">
        <f>V3+3</f>
        <v>45082</v>
      </c>
      <c r="Y3" s="1503">
        <f>X3+1</f>
        <v>45083</v>
      </c>
      <c r="Z3" s="1499">
        <f>Y3+1</f>
        <v>45084</v>
      </c>
      <c r="AA3" s="1503">
        <f>Z3+1</f>
        <v>45085</v>
      </c>
      <c r="AB3" s="1505">
        <f>AA3+1</f>
        <v>45086</v>
      </c>
      <c r="AC3" s="931"/>
      <c r="AD3" s="1501">
        <f>AB3+3</f>
        <v>45089</v>
      </c>
      <c r="AE3" s="1503">
        <f>AD3+1</f>
        <v>45090</v>
      </c>
      <c r="AF3" s="1499">
        <f>AE3+1</f>
        <v>45091</v>
      </c>
      <c r="AG3" s="1503">
        <f>AF3+1</f>
        <v>45092</v>
      </c>
      <c r="AH3" s="1505">
        <f>AG3+1</f>
        <v>45093</v>
      </c>
      <c r="AI3" s="931"/>
      <c r="AJ3" s="1501">
        <f>AH3+3</f>
        <v>45096</v>
      </c>
      <c r="AK3" s="1503">
        <f>AJ3+1</f>
        <v>45097</v>
      </c>
      <c r="AL3" s="1499">
        <f>AK3+1</f>
        <v>45098</v>
      </c>
      <c r="AM3" s="1503">
        <f>AL3+1</f>
        <v>45099</v>
      </c>
      <c r="AN3" s="1505">
        <f>AM3+1</f>
        <v>45100</v>
      </c>
      <c r="AO3" s="931"/>
      <c r="AP3" s="1501">
        <f>AN3+3</f>
        <v>45103</v>
      </c>
      <c r="AQ3" s="1503">
        <f>AP3+1</f>
        <v>45104</v>
      </c>
      <c r="AR3" s="1499">
        <f>AQ3+1</f>
        <v>45105</v>
      </c>
      <c r="AS3" s="1503">
        <f>AR3+1</f>
        <v>45106</v>
      </c>
      <c r="AT3" s="1505">
        <f>AS3+1</f>
        <v>45107</v>
      </c>
      <c r="AU3" s="931"/>
      <c r="AV3" s="1501">
        <f>AT3+3</f>
        <v>45110</v>
      </c>
      <c r="AW3" s="1503">
        <f>AV3+1</f>
        <v>45111</v>
      </c>
      <c r="AX3" s="1499">
        <f>AW3+1</f>
        <v>45112</v>
      </c>
      <c r="AY3" s="1503">
        <f>AX3+1</f>
        <v>45113</v>
      </c>
      <c r="AZ3" s="1505">
        <f>AY3+1</f>
        <v>45114</v>
      </c>
      <c r="BA3" s="931"/>
      <c r="BB3" s="1501">
        <f>AZ3+3</f>
        <v>45117</v>
      </c>
      <c r="BC3" s="1503">
        <f>BB3+1</f>
        <v>45118</v>
      </c>
      <c r="BD3" s="1499">
        <f>BC3+1</f>
        <v>45119</v>
      </c>
      <c r="BE3" s="1503">
        <f>BD3+1</f>
        <v>45120</v>
      </c>
      <c r="BF3" s="1505">
        <f>BE3+1</f>
        <v>45121</v>
      </c>
      <c r="BG3" s="931"/>
      <c r="BH3" s="1501">
        <f>BF3+3</f>
        <v>45124</v>
      </c>
      <c r="BI3" s="1503">
        <f>BH3+1</f>
        <v>45125</v>
      </c>
      <c r="BJ3" s="1499">
        <f>BI3+1</f>
        <v>45126</v>
      </c>
      <c r="BK3" s="1503">
        <f>BJ3+1</f>
        <v>45127</v>
      </c>
      <c r="BL3" s="1532">
        <f>BK3+1</f>
        <v>45128</v>
      </c>
      <c r="BM3" s="931"/>
      <c r="BN3" s="1501">
        <f>BL3+3</f>
        <v>45131</v>
      </c>
      <c r="BO3" s="1503">
        <f>BN3+1</f>
        <v>45132</v>
      </c>
      <c r="BP3" s="1499">
        <f>BO3+1</f>
        <v>45133</v>
      </c>
      <c r="BQ3" s="1503">
        <f>BP3+1</f>
        <v>45134</v>
      </c>
      <c r="BR3" s="1505">
        <f>BQ3+1</f>
        <v>45135</v>
      </c>
      <c r="BS3" s="931"/>
      <c r="BT3" s="1501">
        <f>BR3+3</f>
        <v>45138</v>
      </c>
      <c r="BU3" s="1503">
        <f>BT3+1</f>
        <v>45139</v>
      </c>
      <c r="BV3" s="1499">
        <f>BU3+1</f>
        <v>45140</v>
      </c>
      <c r="BW3" s="1503">
        <f>BV3+1</f>
        <v>45141</v>
      </c>
      <c r="BX3" s="1505">
        <f>BW3+1</f>
        <v>45142</v>
      </c>
      <c r="BY3" s="931"/>
      <c r="BZ3" s="1501">
        <f>BX3+3</f>
        <v>45145</v>
      </c>
      <c r="CA3" s="1503">
        <f>BZ3+1</f>
        <v>45146</v>
      </c>
      <c r="CB3" s="1499">
        <f>CA3+1</f>
        <v>45147</v>
      </c>
      <c r="CC3" s="1503">
        <f>CB3+1</f>
        <v>45148</v>
      </c>
      <c r="CD3" s="1505">
        <f>CC3+1</f>
        <v>45149</v>
      </c>
      <c r="CE3" s="931"/>
      <c r="CF3" s="1501">
        <f>CD3+3</f>
        <v>45152</v>
      </c>
      <c r="CG3" s="1503">
        <f>CF3+1</f>
        <v>45153</v>
      </c>
      <c r="CH3" s="1499">
        <f>CG3+1</f>
        <v>45154</v>
      </c>
      <c r="CI3" s="1503">
        <f>CH3+1</f>
        <v>45155</v>
      </c>
      <c r="CJ3" s="1505">
        <f>CI3+1</f>
        <v>45156</v>
      </c>
      <c r="CK3" s="931"/>
      <c r="CL3" s="1501">
        <f>CJ3+3</f>
        <v>45159</v>
      </c>
      <c r="CM3" s="1503">
        <f>CL3+1</f>
        <v>45160</v>
      </c>
      <c r="CN3" s="1499">
        <f>CM3+1</f>
        <v>45161</v>
      </c>
      <c r="CO3" s="1503">
        <f>CN3+1</f>
        <v>45162</v>
      </c>
      <c r="CP3" s="1505">
        <f>CO3+1</f>
        <v>45163</v>
      </c>
      <c r="CQ3" s="931"/>
      <c r="CR3" s="1501">
        <f>CP3+3</f>
        <v>45166</v>
      </c>
      <c r="CS3" s="1503">
        <f>CR3+1</f>
        <v>45167</v>
      </c>
      <c r="CT3" s="1499">
        <f>CS3+1</f>
        <v>45168</v>
      </c>
      <c r="CU3" s="1503">
        <f>CT3+1</f>
        <v>45169</v>
      </c>
      <c r="CV3" s="1505">
        <f>CU3+1</f>
        <v>45170</v>
      </c>
      <c r="CW3" s="931"/>
      <c r="CX3" s="1501">
        <f>CV3+3</f>
        <v>45173</v>
      </c>
      <c r="CY3" s="1503">
        <f>CX3+1</f>
        <v>45174</v>
      </c>
      <c r="CZ3" s="1499">
        <f>CY3+1</f>
        <v>45175</v>
      </c>
      <c r="DA3" s="1503">
        <f>CZ3+1</f>
        <v>45176</v>
      </c>
      <c r="DB3" s="1505">
        <f>DA3+1</f>
        <v>45177</v>
      </c>
      <c r="DC3" s="931"/>
      <c r="DD3" s="1501">
        <f>DB3+3</f>
        <v>45180</v>
      </c>
      <c r="DE3" s="1503">
        <f>DD3+1</f>
        <v>45181</v>
      </c>
      <c r="DF3" s="1499">
        <f>DE3+1</f>
        <v>45182</v>
      </c>
      <c r="DG3" s="1503">
        <f>DF3+1</f>
        <v>45183</v>
      </c>
      <c r="DH3" s="1505">
        <f>DG3+1</f>
        <v>45184</v>
      </c>
      <c r="DI3" s="931"/>
      <c r="DJ3" s="1501">
        <f>DH3+3</f>
        <v>45187</v>
      </c>
      <c r="DK3" s="1503">
        <f>DJ3+1</f>
        <v>45188</v>
      </c>
      <c r="DL3" s="1499">
        <f>DK3+1</f>
        <v>45189</v>
      </c>
      <c r="DM3" s="1503">
        <f>DL3+1</f>
        <v>45190</v>
      </c>
      <c r="DN3" s="1505">
        <f>DM3+1</f>
        <v>45191</v>
      </c>
      <c r="DO3" s="931"/>
      <c r="DP3" s="1501">
        <f>DN3+3</f>
        <v>45194</v>
      </c>
      <c r="DQ3" s="1503">
        <f>DP3+1</f>
        <v>45195</v>
      </c>
      <c r="DR3" s="1499">
        <f>DQ3+1</f>
        <v>45196</v>
      </c>
      <c r="DS3" s="1503">
        <f>DR3+1</f>
        <v>45197</v>
      </c>
      <c r="DT3" s="1505">
        <f>DS3+1</f>
        <v>45198</v>
      </c>
      <c r="DU3" s="931"/>
      <c r="DV3" s="1501">
        <f>DT3+3</f>
        <v>45201</v>
      </c>
      <c r="DW3" s="1503">
        <f>DV3+1</f>
        <v>45202</v>
      </c>
      <c r="DX3" s="1499">
        <f>DW3+1</f>
        <v>45203</v>
      </c>
      <c r="DY3" s="1503">
        <f>DX3+1</f>
        <v>45204</v>
      </c>
      <c r="DZ3" s="1505">
        <f>DY3+1</f>
        <v>45205</v>
      </c>
      <c r="EA3" s="931"/>
      <c r="EB3" s="1501">
        <f>DZ3+3</f>
        <v>45208</v>
      </c>
      <c r="EC3" s="1503">
        <f>EB3+1</f>
        <v>45209</v>
      </c>
      <c r="ED3" s="1499">
        <f>EC3+1</f>
        <v>45210</v>
      </c>
      <c r="EE3" s="1503">
        <f>ED3+1</f>
        <v>45211</v>
      </c>
      <c r="EF3" s="1505">
        <f>EE3+1</f>
        <v>45212</v>
      </c>
      <c r="EG3" s="933"/>
      <c r="EH3" s="1542"/>
      <c r="EI3" s="934">
        <f>IF(ปก!D10="กิจกรรมพัฒนาผู้เรียน",EL6,VLOOKUP(ปก!C11,$EK$6:$EM$14,2))/2</f>
        <v>36</v>
      </c>
      <c r="EJ3" s="1536"/>
      <c r="EK3" s="1534" t="s">
        <v>124</v>
      </c>
      <c r="EL3" s="1534"/>
      <c r="EM3" s="1534"/>
    </row>
    <row r="4" spans="1:143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31"/>
      <c r="M4" s="1528"/>
      <c r="N4" s="1520"/>
      <c r="O4" s="1528"/>
      <c r="P4" s="1522"/>
      <c r="Q4" s="936"/>
      <c r="R4" s="1519"/>
      <c r="S4" s="1520"/>
      <c r="T4" s="1528"/>
      <c r="U4" s="1520"/>
      <c r="V4" s="1529"/>
      <c r="W4" s="935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IF(ปก!D10="กิจกรรมพัฒนาผู้เรียน",EM6,VLOOKUP(ปก!C11,$EK$4:$EM$14,3))/2</f>
        <v>7</v>
      </c>
      <c r="EJ4" s="1537"/>
      <c r="EK4" s="1544" t="s">
        <v>119</v>
      </c>
      <c r="EL4" s="1544" t="s">
        <v>117</v>
      </c>
      <c r="EM4" s="1544" t="s">
        <v>118</v>
      </c>
    </row>
    <row r="5" spans="1:143" s="24" customFormat="1" ht="12" customHeight="1" thickBot="1" x14ac:dyDescent="0.55000000000000004">
      <c r="A5" s="1512"/>
      <c r="B5" s="1515"/>
      <c r="C5" s="1381"/>
      <c r="D5" s="1518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48"/>
      <c r="EK5" s="1545"/>
      <c r="EL5" s="1545"/>
      <c r="EM5" s="1545"/>
    </row>
    <row r="6" spans="1:143" s="24" customFormat="1" ht="12" customHeight="1" thickBot="1" x14ac:dyDescent="0.55000000000000004">
      <c r="A6" s="1507" t="s">
        <v>157</v>
      </c>
      <c r="B6" s="1508"/>
      <c r="C6" s="1508"/>
      <c r="D6" s="1509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12392</v>
      </c>
      <c r="C7" s="889" t="str">
        <f>'ชื่อ-คะแนน'!DB6</f>
        <v>เด็กหญิง กรรณิการ์  สุวะเลิศ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12399</v>
      </c>
      <c r="C8" s="895" t="str">
        <f>'ชื่อ-คะแนน'!DB7</f>
        <v>เด็กชาย ณัฐรัตน์  สุริยะทา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12401</v>
      </c>
      <c r="C9" s="895" t="str">
        <f>'ชื่อ-คะแนน'!DB8</f>
        <v>เด็กชาย ตุลากาล  กาวิน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12402</v>
      </c>
      <c r="C10" s="895" t="str">
        <f>'ชื่อ-คะแนน'!DB9</f>
        <v>เด็กชาย ธนบูรณ์  สุภาดี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12407</v>
      </c>
      <c r="C11" s="900" t="str">
        <f>'ชื่อ-คะแนน'!DB10</f>
        <v>เด็กชาย พีรกร  บุญฉิม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12408</v>
      </c>
      <c r="C12" s="889" t="str">
        <f>'ชื่อ-คะแนน'!DB11</f>
        <v>เด็กหญิง ภัทรวรรณ  ชาวิชัย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12415</v>
      </c>
      <c r="C13" s="895" t="str">
        <f>'ชื่อ-คะแนน'!DB12</f>
        <v>เด็กหญิง ศลักษณ์พร  บุญมา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12416</v>
      </c>
      <c r="C14" s="895" t="str">
        <f>'ชื่อ-คะแนน'!DB13</f>
        <v>เด็กชาย สิทธิชัย  สุขอ่วม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12752</v>
      </c>
      <c r="C15" s="895" t="str">
        <f>'ชื่อ-คะแนน'!DB14</f>
        <v>สามเณร ซอยือเล  -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12755</v>
      </c>
      <c r="C16" s="900" t="str">
        <f>'ชื่อ-คะแนน'!DB15</f>
        <v>สามเณร ตาเบโอ  -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12756</v>
      </c>
      <c r="C17" s="889" t="str">
        <f>'ชื่อ-คะแนน'!DB16</f>
        <v>สามเณร เนาะหน่อโพ  -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12757</v>
      </c>
      <c r="C18" s="895" t="str">
        <f>'ชื่อ-คะแนน'!DB17</f>
        <v>สามเณร ยะเพอ  -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>
        <f>'ชื่อ-คะแนน'!D18</f>
        <v>0</v>
      </c>
      <c r="E19" s="621" t="str">
        <f t="shared" si="0"/>
        <v/>
      </c>
      <c r="F19" s="964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5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5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5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6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70" t="str">
        <f>IF('ชื่อ-คะแนน'!C18="","",COUNTIF(F19:EF19,"/")+SUM(F19:EF19))</f>
        <v/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>
        <f>'ชื่อ-คะแนน'!D19</f>
        <v>0</v>
      </c>
      <c r="E20" s="621" t="str">
        <f t="shared" si="0"/>
        <v/>
      </c>
      <c r="F20" s="964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5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5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5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6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70" t="str">
        <f>IF('ชื่อ-คะแนน'!C19="","",COUNTIF(F20:EF20,"/")+SUM(F20:EF20))</f>
        <v/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546"/>
      <c r="B57" s="1546"/>
      <c r="C57" s="1546"/>
      <c r="D57" s="1546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6" t="s">
        <v>237</v>
      </c>
      <c r="B1" s="1556"/>
      <c r="C1" s="1556"/>
      <c r="D1" s="1556"/>
      <c r="E1" s="1291"/>
      <c r="F1" s="1558">
        <f>ปก!$O$37</f>
        <v>45229</v>
      </c>
      <c r="G1" s="1559"/>
      <c r="H1" s="1559"/>
      <c r="I1" s="1559"/>
      <c r="J1" s="1559"/>
      <c r="K1" s="1559"/>
      <c r="L1" s="1559"/>
      <c r="M1" s="1560"/>
      <c r="N1" s="1561" t="s">
        <v>207</v>
      </c>
      <c r="O1" s="1562"/>
      <c r="P1" s="1569" t="s">
        <v>206</v>
      </c>
      <c r="Q1" s="1569"/>
      <c r="R1" s="1569"/>
      <c r="S1" s="1569"/>
      <c r="T1" s="1570"/>
      <c r="U1" s="1566">
        <f>ปก!$O$38</f>
        <v>21</v>
      </c>
      <c r="V1" s="1567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68"/>
      <c r="AY1" s="1568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เวลา1!D2</f>
        <v>สถานะนักเรียน</v>
      </c>
      <c r="E2" s="925"/>
      <c r="F2" s="1547" t="str">
        <f>IF(U1="","เติมเลขที่ U1",$P$1&amp;" "&amp;U1)</f>
        <v>สัปดาห์  21</v>
      </c>
      <c r="G2" s="1548"/>
      <c r="H2" s="1548"/>
      <c r="I2" s="1548"/>
      <c r="J2" s="1549"/>
      <c r="K2" s="983"/>
      <c r="L2" s="1547" t="str">
        <f>$P$1&amp;" "&amp;$U$1+1</f>
        <v>สัปดาห์  22</v>
      </c>
      <c r="M2" s="1548"/>
      <c r="N2" s="1548"/>
      <c r="O2" s="1548"/>
      <c r="P2" s="1549"/>
      <c r="Q2" s="983"/>
      <c r="R2" s="1547" t="str">
        <f>$P$1&amp;" "&amp;$U$1+2</f>
        <v>สัปดาห์  23</v>
      </c>
      <c r="S2" s="1548"/>
      <c r="T2" s="1548"/>
      <c r="U2" s="1548"/>
      <c r="V2" s="1549"/>
      <c r="W2" s="983"/>
      <c r="X2" s="1547" t="str">
        <f>$P$1&amp;" "&amp;$U$1+3</f>
        <v>สัปดาห์  24</v>
      </c>
      <c r="Y2" s="1548"/>
      <c r="Z2" s="1548"/>
      <c r="AA2" s="1548"/>
      <c r="AB2" s="1549"/>
      <c r="AC2" s="983"/>
      <c r="AD2" s="1547" t="str">
        <f>$P$1&amp;" "&amp;$U$1+4</f>
        <v>สัปดาห์  25</v>
      </c>
      <c r="AE2" s="1548"/>
      <c r="AF2" s="1548"/>
      <c r="AG2" s="1548"/>
      <c r="AH2" s="1549"/>
      <c r="AI2" s="983"/>
      <c r="AJ2" s="1547" t="str">
        <f>$P$1&amp;" "&amp;$U$1+5</f>
        <v>สัปดาห์  26</v>
      </c>
      <c r="AK2" s="1548"/>
      <c r="AL2" s="1548"/>
      <c r="AM2" s="1548"/>
      <c r="AN2" s="1549"/>
      <c r="AO2" s="983"/>
      <c r="AP2" s="1547" t="str">
        <f>$P$1&amp;" "&amp;$U$1+6</f>
        <v>สัปดาห์  27</v>
      </c>
      <c r="AQ2" s="1548"/>
      <c r="AR2" s="1548"/>
      <c r="AS2" s="1548"/>
      <c r="AT2" s="1549"/>
      <c r="AU2" s="983"/>
      <c r="AV2" s="1547" t="str">
        <f>$P$1&amp;" "&amp;$U$1+7</f>
        <v>สัปดาห์  28</v>
      </c>
      <c r="AW2" s="1548"/>
      <c r="AX2" s="1548"/>
      <c r="AY2" s="1548"/>
      <c r="AZ2" s="1549"/>
      <c r="BA2" s="983"/>
      <c r="BB2" s="1547" t="str">
        <f>$P$1&amp;" "&amp;$U$1+8</f>
        <v>สัปดาห์  29</v>
      </c>
      <c r="BC2" s="1548"/>
      <c r="BD2" s="1548"/>
      <c r="BE2" s="1548"/>
      <c r="BF2" s="1549"/>
      <c r="BG2" s="983"/>
      <c r="BH2" s="1563" t="str">
        <f>$P$1&amp;" "&amp;$U$1+9</f>
        <v>สัปดาห์  30</v>
      </c>
      <c r="BI2" s="1564"/>
      <c r="BJ2" s="1564"/>
      <c r="BK2" s="1564"/>
      <c r="BL2" s="1565"/>
      <c r="BM2" s="984"/>
      <c r="BN2" s="1547" t="str">
        <f>$P$1&amp;" "&amp;$U$1+10</f>
        <v>สัปดาห์  31</v>
      </c>
      <c r="BO2" s="1548"/>
      <c r="BP2" s="1548"/>
      <c r="BQ2" s="1548"/>
      <c r="BR2" s="1549"/>
      <c r="BS2" s="983"/>
      <c r="BT2" s="1547" t="str">
        <f>$P$1&amp;" "&amp;$U$1+11</f>
        <v>สัปดาห์  32</v>
      </c>
      <c r="BU2" s="1548"/>
      <c r="BV2" s="1548"/>
      <c r="BW2" s="1548"/>
      <c r="BX2" s="1549"/>
      <c r="BY2" s="983"/>
      <c r="BZ2" s="1547" t="str">
        <f>$P$1&amp;" "&amp;$U$1+12</f>
        <v>สัปดาห์  33</v>
      </c>
      <c r="CA2" s="1548"/>
      <c r="CB2" s="1548"/>
      <c r="CC2" s="1548"/>
      <c r="CD2" s="1549"/>
      <c r="CE2" s="983"/>
      <c r="CF2" s="1547" t="str">
        <f>$P$1&amp;" "&amp;$U$1+13</f>
        <v>สัปดาห์  34</v>
      </c>
      <c r="CG2" s="1548"/>
      <c r="CH2" s="1548"/>
      <c r="CI2" s="1548"/>
      <c r="CJ2" s="1549"/>
      <c r="CK2" s="983"/>
      <c r="CL2" s="1547" t="str">
        <f>$P$1&amp;" "&amp;$U$1+14</f>
        <v>สัปดาห์  35</v>
      </c>
      <c r="CM2" s="1548"/>
      <c r="CN2" s="1548"/>
      <c r="CO2" s="1548"/>
      <c r="CP2" s="1549"/>
      <c r="CQ2" s="983"/>
      <c r="CR2" s="1547" t="str">
        <f>$P$1&amp;" "&amp;$U$1+15</f>
        <v>สัปดาห์  36</v>
      </c>
      <c r="CS2" s="1548"/>
      <c r="CT2" s="1548"/>
      <c r="CU2" s="1548"/>
      <c r="CV2" s="1549"/>
      <c r="CW2" s="983"/>
      <c r="CX2" s="1547" t="str">
        <f>$P$1&amp;" "&amp;$U$1+16</f>
        <v>สัปดาห์  37</v>
      </c>
      <c r="CY2" s="1548"/>
      <c r="CZ2" s="1548"/>
      <c r="DA2" s="1548"/>
      <c r="DB2" s="1549"/>
      <c r="DC2" s="983"/>
      <c r="DD2" s="1547" t="str">
        <f>$P$1&amp;" "&amp;$U$1+17</f>
        <v>สัปดาห์  38</v>
      </c>
      <c r="DE2" s="1548"/>
      <c r="DF2" s="1548"/>
      <c r="DG2" s="1548"/>
      <c r="DH2" s="1549"/>
      <c r="DI2" s="983"/>
      <c r="DJ2" s="1547" t="str">
        <f>$P$1&amp;" "&amp;$U$1+18</f>
        <v>สัปดาห์  39</v>
      </c>
      <c r="DK2" s="1548"/>
      <c r="DL2" s="1548"/>
      <c r="DM2" s="1548"/>
      <c r="DN2" s="1549"/>
      <c r="DO2" s="984"/>
      <c r="DP2" s="1550" t="str">
        <f>$P$1&amp;" "&amp;$U$1+19</f>
        <v>สัปดาห์  40</v>
      </c>
      <c r="DQ2" s="1551"/>
      <c r="DR2" s="1551"/>
      <c r="DS2" s="1551"/>
      <c r="DT2" s="1552"/>
      <c r="DU2" s="983"/>
      <c r="DV2" s="1547" t="str">
        <f>$P$1&amp;" "&amp;$U$1+20</f>
        <v>สัปดาห์  41</v>
      </c>
      <c r="DW2" s="1548"/>
      <c r="DX2" s="1548"/>
      <c r="DY2" s="1548"/>
      <c r="DZ2" s="1549"/>
      <c r="EA2" s="983"/>
      <c r="EB2" s="1547" t="str">
        <f>$P$1&amp;" "&amp;$U$1+21</f>
        <v>สัปดาห์  42</v>
      </c>
      <c r="EC2" s="1548"/>
      <c r="ED2" s="1548"/>
      <c r="EE2" s="1548"/>
      <c r="EF2" s="1549"/>
      <c r="EG2" s="985"/>
      <c r="EH2" s="1541" t="s">
        <v>239</v>
      </c>
      <c r="EI2" s="929" t="s">
        <v>224</v>
      </c>
      <c r="EJ2" s="929" t="s">
        <v>240</v>
      </c>
      <c r="EK2" s="103"/>
      <c r="EL2" s="1535" t="s">
        <v>123</v>
      </c>
      <c r="EM2" s="68"/>
      <c r="EN2" s="68"/>
      <c r="EO2" s="68"/>
    </row>
    <row r="3" spans="1:145" s="22" customFormat="1" ht="24.75" customHeight="1" x14ac:dyDescent="0.5">
      <c r="A3" s="1511"/>
      <c r="B3" s="1514"/>
      <c r="C3" s="1380"/>
      <c r="D3" s="1517"/>
      <c r="E3" s="930"/>
      <c r="F3" s="1501">
        <f>F1</f>
        <v>45229</v>
      </c>
      <c r="G3" s="1503">
        <f>F3+1</f>
        <v>45230</v>
      </c>
      <c r="H3" s="1499">
        <f>G3+1</f>
        <v>45231</v>
      </c>
      <c r="I3" s="1503">
        <f>H3+1</f>
        <v>45232</v>
      </c>
      <c r="J3" s="1505">
        <f>I3+1</f>
        <v>45233</v>
      </c>
      <c r="K3" s="931"/>
      <c r="L3" s="1530">
        <f>J3+3</f>
        <v>45236</v>
      </c>
      <c r="M3" s="1499">
        <f>L3+1</f>
        <v>45237</v>
      </c>
      <c r="N3" s="1503">
        <f>M3+1</f>
        <v>45238</v>
      </c>
      <c r="O3" s="1499">
        <f>N3+1</f>
        <v>45239</v>
      </c>
      <c r="P3" s="1521">
        <f>O3+1</f>
        <v>45240</v>
      </c>
      <c r="Q3" s="932"/>
      <c r="R3" s="1501">
        <f>P3+3</f>
        <v>45243</v>
      </c>
      <c r="S3" s="1503">
        <f>R3+1</f>
        <v>45244</v>
      </c>
      <c r="T3" s="1499">
        <f>S3+1</f>
        <v>45245</v>
      </c>
      <c r="U3" s="1503">
        <f>T3+1</f>
        <v>45246</v>
      </c>
      <c r="V3" s="1505">
        <f>U3+1</f>
        <v>45247</v>
      </c>
      <c r="W3" s="931"/>
      <c r="X3" s="1501">
        <f>V3+3</f>
        <v>45250</v>
      </c>
      <c r="Y3" s="1503">
        <f>X3+1</f>
        <v>45251</v>
      </c>
      <c r="Z3" s="1499">
        <f>Y3+1</f>
        <v>45252</v>
      </c>
      <c r="AA3" s="1503">
        <f>Z3+1</f>
        <v>45253</v>
      </c>
      <c r="AB3" s="1505">
        <f>AA3+1</f>
        <v>45254</v>
      </c>
      <c r="AC3" s="931"/>
      <c r="AD3" s="1501">
        <f>AB3+3</f>
        <v>45257</v>
      </c>
      <c r="AE3" s="1503">
        <f>AD3+1</f>
        <v>45258</v>
      </c>
      <c r="AF3" s="1499">
        <f>AE3+1</f>
        <v>45259</v>
      </c>
      <c r="AG3" s="1503">
        <f>AF3+1</f>
        <v>45260</v>
      </c>
      <c r="AH3" s="1505">
        <f>AG3+1</f>
        <v>45261</v>
      </c>
      <c r="AI3" s="931"/>
      <c r="AJ3" s="1501">
        <f>AH3+3</f>
        <v>45264</v>
      </c>
      <c r="AK3" s="1503">
        <f>AJ3+1</f>
        <v>45265</v>
      </c>
      <c r="AL3" s="1499">
        <f>AK3+1</f>
        <v>45266</v>
      </c>
      <c r="AM3" s="1503">
        <f>AL3+1</f>
        <v>45267</v>
      </c>
      <c r="AN3" s="1505">
        <f>AM3+1</f>
        <v>45268</v>
      </c>
      <c r="AO3" s="931"/>
      <c r="AP3" s="1501">
        <f>AN3+3</f>
        <v>45271</v>
      </c>
      <c r="AQ3" s="1503">
        <f>AP3+1</f>
        <v>45272</v>
      </c>
      <c r="AR3" s="1499">
        <f>AQ3+1</f>
        <v>45273</v>
      </c>
      <c r="AS3" s="1503">
        <f>AR3+1</f>
        <v>45274</v>
      </c>
      <c r="AT3" s="1505">
        <f>AS3+1</f>
        <v>45275</v>
      </c>
      <c r="AU3" s="931"/>
      <c r="AV3" s="1501">
        <f>AT3+3</f>
        <v>45278</v>
      </c>
      <c r="AW3" s="1503">
        <f>AV3+1</f>
        <v>45279</v>
      </c>
      <c r="AX3" s="1499">
        <f>AW3+1</f>
        <v>45280</v>
      </c>
      <c r="AY3" s="1503">
        <f>AX3+1</f>
        <v>45281</v>
      </c>
      <c r="AZ3" s="1505">
        <f>AY3+1</f>
        <v>45282</v>
      </c>
      <c r="BA3" s="931"/>
      <c r="BB3" s="1501">
        <f>AZ3+3</f>
        <v>45285</v>
      </c>
      <c r="BC3" s="1503">
        <f>BB3+1</f>
        <v>45286</v>
      </c>
      <c r="BD3" s="1499">
        <f>BC3+1</f>
        <v>45287</v>
      </c>
      <c r="BE3" s="1503">
        <f>BD3+1</f>
        <v>45288</v>
      </c>
      <c r="BF3" s="1505">
        <f>BE3+1</f>
        <v>45289</v>
      </c>
      <c r="BG3" s="931"/>
      <c r="BH3" s="1501">
        <f>BF3+3</f>
        <v>45292</v>
      </c>
      <c r="BI3" s="1503">
        <f>BH3+1</f>
        <v>45293</v>
      </c>
      <c r="BJ3" s="1499">
        <f>BI3+1</f>
        <v>45294</v>
      </c>
      <c r="BK3" s="1503">
        <f>BJ3+1</f>
        <v>45295</v>
      </c>
      <c r="BL3" s="1532">
        <f>BK3+1</f>
        <v>45296</v>
      </c>
      <c r="BM3" s="931"/>
      <c r="BN3" s="1501">
        <f>BL3+3</f>
        <v>45299</v>
      </c>
      <c r="BO3" s="1503">
        <f>BN3+1</f>
        <v>45300</v>
      </c>
      <c r="BP3" s="1499">
        <f>BO3+1</f>
        <v>45301</v>
      </c>
      <c r="BQ3" s="1503">
        <f>BP3+1</f>
        <v>45302</v>
      </c>
      <c r="BR3" s="1505">
        <f>BQ3+1</f>
        <v>45303</v>
      </c>
      <c r="BS3" s="931"/>
      <c r="BT3" s="1501">
        <f>BR3+3</f>
        <v>45306</v>
      </c>
      <c r="BU3" s="1503">
        <f>BT3+1</f>
        <v>45307</v>
      </c>
      <c r="BV3" s="1499">
        <f>BU3+1</f>
        <v>45308</v>
      </c>
      <c r="BW3" s="1503">
        <f>BV3+1</f>
        <v>45309</v>
      </c>
      <c r="BX3" s="1505">
        <f>BW3+1</f>
        <v>45310</v>
      </c>
      <c r="BY3" s="931"/>
      <c r="BZ3" s="1501">
        <f>BX3+3</f>
        <v>45313</v>
      </c>
      <c r="CA3" s="1503">
        <f>BZ3+1</f>
        <v>45314</v>
      </c>
      <c r="CB3" s="1499">
        <f>CA3+1</f>
        <v>45315</v>
      </c>
      <c r="CC3" s="1503">
        <f>CB3+1</f>
        <v>45316</v>
      </c>
      <c r="CD3" s="1505">
        <f>CC3+1</f>
        <v>45317</v>
      </c>
      <c r="CE3" s="931"/>
      <c r="CF3" s="1501">
        <f>CD3+3</f>
        <v>45320</v>
      </c>
      <c r="CG3" s="1503">
        <f>CF3+1</f>
        <v>45321</v>
      </c>
      <c r="CH3" s="1499">
        <f>CG3+1</f>
        <v>45322</v>
      </c>
      <c r="CI3" s="1503">
        <f>CH3+1</f>
        <v>45323</v>
      </c>
      <c r="CJ3" s="1505">
        <f>CI3+1</f>
        <v>45324</v>
      </c>
      <c r="CK3" s="931"/>
      <c r="CL3" s="1501">
        <f>CJ3+3</f>
        <v>45327</v>
      </c>
      <c r="CM3" s="1503">
        <f>CL3+1</f>
        <v>45328</v>
      </c>
      <c r="CN3" s="1499">
        <f>CM3+1</f>
        <v>45329</v>
      </c>
      <c r="CO3" s="1503">
        <f>CN3+1</f>
        <v>45330</v>
      </c>
      <c r="CP3" s="1505">
        <f>CO3+1</f>
        <v>45331</v>
      </c>
      <c r="CQ3" s="931"/>
      <c r="CR3" s="1501">
        <f>CP3+3</f>
        <v>45334</v>
      </c>
      <c r="CS3" s="1503">
        <f>CR3+1</f>
        <v>45335</v>
      </c>
      <c r="CT3" s="1499">
        <f>CS3+1</f>
        <v>45336</v>
      </c>
      <c r="CU3" s="1503">
        <f>CT3+1</f>
        <v>45337</v>
      </c>
      <c r="CV3" s="1505">
        <f>CU3+1</f>
        <v>45338</v>
      </c>
      <c r="CW3" s="931"/>
      <c r="CX3" s="1501">
        <f>CV3+3</f>
        <v>45341</v>
      </c>
      <c r="CY3" s="1503">
        <f>CX3+1</f>
        <v>45342</v>
      </c>
      <c r="CZ3" s="1499">
        <f>CY3+1</f>
        <v>45343</v>
      </c>
      <c r="DA3" s="1503">
        <f>CZ3+1</f>
        <v>45344</v>
      </c>
      <c r="DB3" s="1505">
        <f>DA3+1</f>
        <v>45345</v>
      </c>
      <c r="DC3" s="931"/>
      <c r="DD3" s="1501">
        <f>DB3+3</f>
        <v>45348</v>
      </c>
      <c r="DE3" s="1503">
        <f>DD3+1</f>
        <v>45349</v>
      </c>
      <c r="DF3" s="1499">
        <f>DE3+1</f>
        <v>45350</v>
      </c>
      <c r="DG3" s="1503">
        <f>DF3+1</f>
        <v>45351</v>
      </c>
      <c r="DH3" s="1505">
        <f>DG3+1</f>
        <v>45352</v>
      </c>
      <c r="DI3" s="931"/>
      <c r="DJ3" s="1501">
        <f>DH3+3</f>
        <v>45355</v>
      </c>
      <c r="DK3" s="1503">
        <f>DJ3+1</f>
        <v>45356</v>
      </c>
      <c r="DL3" s="1499">
        <f>DK3+1</f>
        <v>45357</v>
      </c>
      <c r="DM3" s="1503">
        <f>DL3+1</f>
        <v>45358</v>
      </c>
      <c r="DN3" s="1505">
        <f>DM3+1</f>
        <v>45359</v>
      </c>
      <c r="DO3" s="931"/>
      <c r="DP3" s="1501">
        <f>DN3+3</f>
        <v>45362</v>
      </c>
      <c r="DQ3" s="1503">
        <f>DP3+1</f>
        <v>45363</v>
      </c>
      <c r="DR3" s="1499">
        <f>DQ3+1</f>
        <v>45364</v>
      </c>
      <c r="DS3" s="1503">
        <f>DR3+1</f>
        <v>45365</v>
      </c>
      <c r="DT3" s="1505">
        <f>DS3+1</f>
        <v>45366</v>
      </c>
      <c r="DU3" s="931"/>
      <c r="DV3" s="1501">
        <f>DT3+3</f>
        <v>45369</v>
      </c>
      <c r="DW3" s="1503">
        <f>DV3+1</f>
        <v>45370</v>
      </c>
      <c r="DX3" s="1499">
        <f>DW3+1</f>
        <v>45371</v>
      </c>
      <c r="DY3" s="1503">
        <f>DX3+1</f>
        <v>45372</v>
      </c>
      <c r="DZ3" s="1505">
        <f>DY3+1</f>
        <v>45373</v>
      </c>
      <c r="EA3" s="931"/>
      <c r="EB3" s="1501">
        <f>DZ3+3</f>
        <v>45376</v>
      </c>
      <c r="EC3" s="1503">
        <f>EB3+1</f>
        <v>45377</v>
      </c>
      <c r="ED3" s="1499">
        <f>EC3+1</f>
        <v>45378</v>
      </c>
      <c r="EE3" s="1503">
        <f>ED3+1</f>
        <v>45379</v>
      </c>
      <c r="EF3" s="1505">
        <f>EE3+1</f>
        <v>45380</v>
      </c>
      <c r="EG3" s="933"/>
      <c r="EH3" s="154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36"/>
      <c r="EM3" s="68"/>
      <c r="EN3" s="68"/>
      <c r="EO3" s="68"/>
    </row>
    <row r="4" spans="1:145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57"/>
      <c r="M4" s="1500"/>
      <c r="N4" s="1504"/>
      <c r="O4" s="1500"/>
      <c r="P4" s="1571"/>
      <c r="Q4" s="986"/>
      <c r="R4" s="1502"/>
      <c r="S4" s="1504"/>
      <c r="T4" s="1500"/>
      <c r="U4" s="1504"/>
      <c r="V4" s="1506"/>
      <c r="W4" s="937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37"/>
      <c r="EM4" s="69"/>
      <c r="EN4" s="69"/>
      <c r="EO4" s="69"/>
    </row>
    <row r="5" spans="1:145" s="24" customFormat="1" ht="12" customHeight="1" thickBot="1" x14ac:dyDescent="0.55000000000000004">
      <c r="A5" s="1512"/>
      <c r="B5" s="1515"/>
      <c r="C5" s="1381"/>
      <c r="D5" s="1518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53" t="str">
        <f>เวลา1!A6</f>
        <v>สำหรับเช็คเวลาเรียน --&gt;</v>
      </c>
      <c r="B6" s="1554"/>
      <c r="C6" s="1554"/>
      <c r="D6" s="1555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12392</v>
      </c>
      <c r="C7" s="889" t="str">
        <f>'ชื่อ-คะแนน'!DB6</f>
        <v>เด็กหญิง กรรณิการ์  สุวะเลิศ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12399</v>
      </c>
      <c r="C8" s="895" t="str">
        <f>'ชื่อ-คะแนน'!DB7</f>
        <v>เด็กชาย ณัฐรัตน์  สุริยะทา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12401</v>
      </c>
      <c r="C9" s="895" t="str">
        <f>'ชื่อ-คะแนน'!DB8</f>
        <v>เด็กชาย ตุลากาล  กาวิน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12402</v>
      </c>
      <c r="C10" s="895" t="str">
        <f>'ชื่อ-คะแนน'!DB9</f>
        <v>เด็กชาย ธนบูรณ์  สุภาดี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12407</v>
      </c>
      <c r="C11" s="900" t="str">
        <f>'ชื่อ-คะแนน'!DB10</f>
        <v>เด็กชาย พีรกร  บุญฉิม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12408</v>
      </c>
      <c r="C12" s="889" t="str">
        <f>'ชื่อ-คะแนน'!DB11</f>
        <v>เด็กหญิง ภัทรวรรณ  ชาวิชัย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12415</v>
      </c>
      <c r="C13" s="895" t="str">
        <f>'ชื่อ-คะแนน'!DB12</f>
        <v>เด็กหญิง ศลักษณ์พร  บุญมา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12416</v>
      </c>
      <c r="C14" s="895" t="str">
        <f>'ชื่อ-คะแนน'!DB13</f>
        <v>เด็กชาย สิทธิชัย  สุขอ่วม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12752</v>
      </c>
      <c r="C15" s="895" t="str">
        <f>'ชื่อ-คะแนน'!DB14</f>
        <v>สามเณร ซอยือเล  -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12755</v>
      </c>
      <c r="C16" s="900" t="str">
        <f>'ชื่อ-คะแนน'!DB15</f>
        <v>สามเณร ตาเบโอ  -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12756</v>
      </c>
      <c r="C17" s="889" t="str">
        <f>'ชื่อ-คะแนน'!DB16</f>
        <v>สามเณร เนาะหน่อโพ  -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12757</v>
      </c>
      <c r="C18" s="895" t="str">
        <f>'ชื่อ-คะแนน'!DB17</f>
        <v>สามเณร ยะเพอ  -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>
        <f>'ชื่อ-คะแนน'!D18</f>
        <v>0</v>
      </c>
      <c r="E19" s="621" t="str">
        <f t="shared" si="0"/>
        <v/>
      </c>
      <c r="F19" s="958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7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7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7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8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94" t="str">
        <f>IF('ชื่อ-คะแนน'!C18="","",COUNTIF(E19:EE19,"/")+SUM(E19:EE19))</f>
        <v/>
      </c>
      <c r="EJ19" s="995" t="str">
        <f>IF('ชื่อ-คะแนน'!C18="","",COUNTIF(F19:EF19,"/")+SUM(F19:EF19)+เวลา1!EI19)</f>
        <v/>
      </c>
      <c r="EK19" s="103"/>
      <c r="EL19" s="53" t="str">
        <f>IF('ชื่อ-คะแนน'!C18="","",IF(EJ19&gt;=$EJ$3-$EJ$4,"-",$EJ$3-$EJ$4-EJ19))</f>
        <v/>
      </c>
      <c r="EM19" s="54" t="str">
        <f>IF('ชื่อ-คะแนน'!C18="","",(EJ19/$EJ$3)*100)</f>
        <v/>
      </c>
      <c r="EN19" s="53" t="str">
        <f>IF('ชื่อ-คะแนน'!CM18="ผิด","ผิด",IF('ชื่อ-คะแนน'!CM18="","",IF('ชื่อ-คะแนน'!CP18="-","-",IF(EM19&lt;79.5,"มส","-"))))</f>
        <v/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/>
      </c>
    </row>
    <row r="20" spans="1:145" s="24" customFormat="1" ht="18" customHeight="1" thickBot="1" x14ac:dyDescent="0.55000000000000004">
      <c r="A20" s="1000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>
        <f>'ชื่อ-คะแนน'!D19</f>
        <v>0</v>
      </c>
      <c r="E20" s="621" t="str">
        <f t="shared" si="0"/>
        <v/>
      </c>
      <c r="F20" s="958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7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7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7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8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94" t="str">
        <f>IF('ชื่อ-คะแนน'!C19="","",COUNTIF(E20:EE20,"/")+SUM(E20:EE20))</f>
        <v/>
      </c>
      <c r="EJ20" s="995" t="str">
        <f>IF('ชื่อ-คะแนน'!C19="","",COUNTIF(F20:EF20,"/")+SUM(F20:EF20)+เวลา1!EI20)</f>
        <v/>
      </c>
      <c r="EK20" s="103"/>
      <c r="EL20" s="53" t="str">
        <f>IF('ชื่อ-คะแนน'!C19="","",IF(EJ20&gt;=$EJ$3-$EJ$4,"-",$EJ$3-$EJ$4-EJ20))</f>
        <v/>
      </c>
      <c r="EM20" s="54" t="str">
        <f>IF('ชื่อ-คะแนน'!C19="","",(EJ20/$EJ$3)*100)</f>
        <v/>
      </c>
      <c r="EN20" s="53" t="str">
        <f>IF('ชื่อ-คะแนน'!CM19="ผิด","ผิด",IF('ชื่อ-คะแนน'!CM19="","",IF('ชื่อ-คะแนน'!CP19="-","-",IF(EM20&lt;79.5,"มส","-"))))</f>
        <v/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/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(ครึ่งปี) "&amp;ปก!E7</f>
        <v>แบบแจ้งผลการเรียน (ครึ่งปี) 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07" t="str">
        <f>"เช็คชื่อ (1) = "&amp;ปก!F24</f>
        <v>เช็คชื่อ (1) = 18</v>
      </c>
      <c r="R2" s="1607"/>
      <c r="S2" s="1607"/>
      <c r="T2" s="1628" t="str">
        <f>ปก!B8&amp;"  "&amp;ปก!D8&amp;"   "</f>
        <v xml:space="preserve">ชั้นประถมศึกษาปีที่   3/2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29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29"/>
      <c r="C3" s="1629"/>
      <c r="D3" s="1629"/>
      <c r="E3" s="1629"/>
      <c r="F3" s="1629"/>
      <c r="G3" s="1629"/>
      <c r="H3" s="1629"/>
      <c r="I3" s="1629"/>
      <c r="J3" s="1629"/>
      <c r="K3" s="1629"/>
      <c r="L3" s="449"/>
      <c r="M3" s="449"/>
      <c r="N3" s="449"/>
      <c r="O3" s="449"/>
      <c r="P3" s="449"/>
      <c r="Q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589" t="s">
        <v>215</v>
      </c>
      <c r="G4" s="1602" t="s">
        <v>221</v>
      </c>
      <c r="H4" s="1589" t="s">
        <v>216</v>
      </c>
      <c r="I4" s="1604" t="s">
        <v>222</v>
      </c>
      <c r="J4" s="1602" t="s">
        <v>220</v>
      </c>
      <c r="K4" s="1591" t="s">
        <v>223</v>
      </c>
      <c r="L4" s="1602" t="s">
        <v>204</v>
      </c>
      <c r="M4" s="1604" t="s">
        <v>205</v>
      </c>
      <c r="N4" s="1602" t="s">
        <v>16</v>
      </c>
      <c r="O4" s="1626" t="s">
        <v>30</v>
      </c>
      <c r="P4" s="1621" t="s">
        <v>125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 t="s">
        <v>14</v>
      </c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590"/>
      <c r="G5" s="1603"/>
      <c r="H5" s="1590"/>
      <c r="I5" s="1605"/>
      <c r="J5" s="1603"/>
      <c r="K5" s="1592"/>
      <c r="L5" s="1603"/>
      <c r="M5" s="1605"/>
      <c r="N5" s="1603"/>
      <c r="O5" s="1627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 t="s">
        <v>254</v>
      </c>
    </row>
    <row r="6" spans="1:30" ht="19.5" customHeight="1" thickBot="1" x14ac:dyDescent="0.55000000000000004">
      <c r="A6" s="275"/>
      <c r="B6" s="1582"/>
      <c r="C6" s="1585"/>
      <c r="D6" s="412"/>
      <c r="E6" s="1625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12392</v>
      </c>
      <c r="D7" s="421" t="str">
        <f>'ชื่อ-คะแนน'!DB6</f>
        <v>เด็กหญิง กรรณิการ์  สุวะเลิศ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12399</v>
      </c>
      <c r="D8" s="336" t="str">
        <f>'ชื่อ-คะแนน'!DB7</f>
        <v>เด็กชาย ณัฐรัตน์  สุริยะทา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12401</v>
      </c>
      <c r="D9" s="336" t="str">
        <f>'ชื่อ-คะแนน'!DB8</f>
        <v>เด็กชาย ตุลากาล  กาวิน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12402</v>
      </c>
      <c r="D10" s="336" t="str">
        <f>'ชื่อ-คะแนน'!DB9</f>
        <v>เด็กชาย ธนบูรณ์  สุภาดี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12407</v>
      </c>
      <c r="D11" s="336" t="str">
        <f>'ชื่อ-คะแนน'!DB10</f>
        <v>เด็กชาย พีรกร  บุญฉิม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12408</v>
      </c>
      <c r="D12" s="325" t="str">
        <f>'ชื่อ-คะแนน'!DB11</f>
        <v>เด็กหญิง ภัทรวรรณ  ชาวิชัย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12415</v>
      </c>
      <c r="D13" s="336" t="str">
        <f>'ชื่อ-คะแนน'!DB12</f>
        <v>เด็กหญิง ศลักษณ์พร  บุญมา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12416</v>
      </c>
      <c r="D14" s="336" t="str">
        <f>'ชื่อ-คะแนน'!DB13</f>
        <v>เด็กชาย สิทธิชัย  สุขอ่วม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12752</v>
      </c>
      <c r="D15" s="336" t="str">
        <f>'ชื่อ-คะแนน'!DB14</f>
        <v>สามเณร ซอยือเล  -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12755</v>
      </c>
      <c r="D16" s="336" t="str">
        <f>'ชื่อ-คะแนน'!DB15</f>
        <v>สามเณร ตาเบโอ  -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12756</v>
      </c>
      <c r="D17" s="325" t="str">
        <f>'ชื่อ-คะแนน'!DB16</f>
        <v>สามเณร เนาะหน่อโพ  -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12757</v>
      </c>
      <c r="D18" s="336" t="str">
        <f>'ชื่อ-คะแนน'!DB17</f>
        <v>สามเณร ยะเพอ  -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>
        <f>'ชื่อ-คะแนน'!D18</f>
        <v>0</v>
      </c>
      <c r="F19" s="1011" t="str">
        <f>'ชื่อ-คะแนน'!R18</f>
        <v/>
      </c>
      <c r="G19" s="792" t="str">
        <f>'ชื่อ-คะแนน'!AA18</f>
        <v/>
      </c>
      <c r="H19" s="1011" t="str">
        <f>'ชื่อ-คะแนน'!AM18</f>
        <v/>
      </c>
      <c r="I19" s="792" t="str">
        <f>'ชื่อ-คะแนน'!AV18</f>
        <v/>
      </c>
      <c r="J19" s="792" t="str">
        <f>'ชื่อ-คะแนน'!AY18</f>
        <v/>
      </c>
      <c r="K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L19" s="768" t="str">
        <f>'ชื่อ-คะแนน'!BT18</f>
        <v/>
      </c>
      <c r="M19" s="768" t="str">
        <f>'ชื่อ-คะแนน'!CN18</f>
        <v/>
      </c>
      <c r="N19" s="768" t="str">
        <f>'ชื่อ-คะแนน'!CQ18</f>
        <v/>
      </c>
      <c r="O19" s="747" t="str">
        <f>'ชื่อ-คะแนน'!CT18</f>
        <v/>
      </c>
      <c r="P19" s="748" t="str">
        <f>IF('ชื่อ-คะแนน'!D18="","",IF('ชื่อ-คะแนน'!D18="ออก","-",IF('ชื่อ-คะแนน'!D18="ย้าย","-",IF('ชื่อ-คะแนน'!D18="พัก","-",F19+G19+H19+I19))))</f>
        <v/>
      </c>
      <c r="Q19" s="749" t="str">
        <f>IF('ชื่อ-คะแนน'!C18="","",IF(E19="ออก","-",IF(E19="พัก","-",IF(E19="ย้าย","-",IF(E19="","ผิด",IF(E19="ร","-",IF(E19="มส","-",RANK(P19,P$7:P$56,0))))))))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>
        <f>'ชื่อ-คะแนน'!D19</f>
        <v>0</v>
      </c>
      <c r="F20" s="1011" t="str">
        <f>'ชื่อ-คะแนน'!R19</f>
        <v/>
      </c>
      <c r="G20" s="792" t="str">
        <f>'ชื่อ-คะแนน'!AA19</f>
        <v/>
      </c>
      <c r="H20" s="1011" t="str">
        <f>'ชื่อ-คะแนน'!AM19</f>
        <v/>
      </c>
      <c r="I20" s="792" t="str">
        <f>'ชื่อ-คะแนน'!AV19</f>
        <v/>
      </c>
      <c r="J20" s="792" t="str">
        <f>'ชื่อ-คะแนน'!AY19</f>
        <v/>
      </c>
      <c r="K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L20" s="768" t="str">
        <f>'ชื่อ-คะแนน'!BT19</f>
        <v/>
      </c>
      <c r="M20" s="768" t="str">
        <f>'ชื่อ-คะแนน'!CN19</f>
        <v/>
      </c>
      <c r="N20" s="768" t="str">
        <f>'ชื่อ-คะแนน'!CQ19</f>
        <v/>
      </c>
      <c r="O20" s="747" t="str">
        <f>'ชื่อ-คะแนน'!CT19</f>
        <v/>
      </c>
      <c r="P20" s="748" t="str">
        <f>IF('ชื่อ-คะแนน'!D19="","",IF('ชื่อ-คะแนน'!D19="ออก","-",IF('ชื่อ-คะแนน'!D19="ย้าย","-",IF('ชื่อ-คะแนน'!D19="พัก","-",F20+G20+H20+I20))))</f>
        <v/>
      </c>
      <c r="Q20" s="749" t="str">
        <f>IF('ชื่อ-คะแนน'!C19="","",IF(E20="ออก","-",IF(E20="พัก","-",IF(E20="ย้าย","-",IF(E20="","ผิด",IF(E20="ร","-",IF(E20="มส","-",RANK(P20,P$7:P$56,0))))))))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(ปลายปี)"&amp;ปก!E7</f>
        <v>แบบแจ้งผลการเรียน (ปลายปี)ปีการศึกษา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31" t="str">
        <f>" เช็คชื่อ (2) = "&amp;ปก!I24</f>
        <v xml:space="preserve"> เช็คชื่อ (2) = 16</v>
      </c>
      <c r="R2" s="1631"/>
      <c r="S2" s="1631"/>
      <c r="T2" s="1628" t="str">
        <f>ปก!B8&amp;"  "&amp;ปก!D8&amp;"   "</f>
        <v xml:space="preserve">ชั้นประถมศึกษาปีที่   3/2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632"/>
      <c r="O3" s="1632"/>
      <c r="P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33"/>
      <c r="R3" s="1633"/>
      <c r="S3" s="1633"/>
      <c r="T3" s="1633"/>
      <c r="U3" s="1633"/>
      <c r="V3" s="1633"/>
      <c r="W3" s="1633"/>
      <c r="X3" s="1633"/>
      <c r="Y3" s="1633"/>
      <c r="Z3" s="1633"/>
      <c r="AA3" s="1633"/>
      <c r="AB3" s="1633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36" t="s">
        <v>217</v>
      </c>
      <c r="K4" s="1634" t="s">
        <v>204</v>
      </c>
      <c r="L4" s="1644" t="s">
        <v>235</v>
      </c>
      <c r="M4" s="1642" t="s">
        <v>205</v>
      </c>
      <c r="N4" s="1634" t="s">
        <v>219</v>
      </c>
      <c r="O4" s="1640" t="s">
        <v>30</v>
      </c>
      <c r="P4" s="1621" t="s">
        <v>17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/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603"/>
      <c r="G5" s="1605"/>
      <c r="H5" s="1603"/>
      <c r="I5" s="1639"/>
      <c r="J5" s="1637"/>
      <c r="K5" s="1635"/>
      <c r="L5" s="1645"/>
      <c r="M5" s="1643"/>
      <c r="N5" s="1635"/>
      <c r="O5" s="1641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/>
    </row>
    <row r="6" spans="1:30" ht="19.5" customHeight="1" thickBot="1" x14ac:dyDescent="0.55000000000000004">
      <c r="A6" s="275"/>
      <c r="B6" s="1582"/>
      <c r="C6" s="1585"/>
      <c r="D6" s="41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12392</v>
      </c>
      <c r="D7" s="421" t="str">
        <f>'ชื่อ-คะแนน'!DB6</f>
        <v>เด็กหญิง กรรณิการ์  สุวะเลิศ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12399</v>
      </c>
      <c r="D8" s="336" t="str">
        <f>'ชื่อ-คะแนน'!DB7</f>
        <v>เด็กชาย ณัฐรัตน์  สุริยะทา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12401</v>
      </c>
      <c r="D9" s="336" t="str">
        <f>'ชื่อ-คะแนน'!DB8</f>
        <v>เด็กชาย ตุลากาล  กาวิน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12402</v>
      </c>
      <c r="D10" s="336" t="str">
        <f>'ชื่อ-คะแนน'!DB9</f>
        <v>เด็กชาย ธนบูรณ์  สุภาดี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12407</v>
      </c>
      <c r="D11" s="336" t="str">
        <f>'ชื่อ-คะแนน'!DB10</f>
        <v>เด็กชาย พีรกร  บุญฉิม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12408</v>
      </c>
      <c r="D12" s="325" t="str">
        <f>'ชื่อ-คะแนน'!DB11</f>
        <v>เด็กหญิง ภัทรวรรณ  ชาวิชัย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12415</v>
      </c>
      <c r="D13" s="336" t="str">
        <f>'ชื่อ-คะแนน'!DB12</f>
        <v>เด็กหญิง ศลักษณ์พร  บุญมา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12416</v>
      </c>
      <c r="D14" s="336" t="str">
        <f>'ชื่อ-คะแนน'!DB13</f>
        <v>เด็กชาย สิทธิชัย  สุขอ่วม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12752</v>
      </c>
      <c r="D15" s="336" t="str">
        <f>'ชื่อ-คะแนน'!DB14</f>
        <v>สามเณร ซอยือเล  -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12755</v>
      </c>
      <c r="D16" s="336" t="str">
        <f>'ชื่อ-คะแนน'!DB15</f>
        <v>สามเณร ตาเบโอ  -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12756</v>
      </c>
      <c r="D17" s="325" t="str">
        <f>'ชื่อ-คะแนน'!DB16</f>
        <v>สามเณร เนาะหน่อโพ  -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12757</v>
      </c>
      <c r="D18" s="336" t="str">
        <f>'ชื่อ-คะแนน'!DB17</f>
        <v>สามเณร ยะเพอ  -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>
        <f>'ชื่อ-คะแนน'!D18</f>
        <v>0</v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011" t="str">
        <f>'ชื่อ-คะแนน'!BJ18</f>
        <v/>
      </c>
      <c r="K19" s="1016" t="str">
        <f>'ชื่อ-คะแนน'!BS18</f>
        <v/>
      </c>
      <c r="L19" s="1011" t="str">
        <f>'ชื่อ-คะแนน'!CD18</f>
        <v/>
      </c>
      <c r="M19" s="1016" t="str">
        <f>'ชื่อ-คะแนน'!CM18</f>
        <v/>
      </c>
      <c r="N19" s="1011" t="str">
        <f>'ชื่อ-คะแนน'!CQ18</f>
        <v/>
      </c>
      <c r="O19" s="782" t="str">
        <f>'ชื่อ-คะแนน'!CT18</f>
        <v/>
      </c>
      <c r="P19" s="783" t="str">
        <f>'ชื่อ-คะแนน'!CW18</f>
        <v/>
      </c>
      <c r="Q19" s="749" t="str">
        <f>'ชื่อ-คะแนน'!CY18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>
        <f>'ชื่อ-คะแนน'!D19</f>
        <v>0</v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011" t="str">
        <f>'ชื่อ-คะแนน'!BJ19</f>
        <v/>
      </c>
      <c r="K20" s="1016" t="str">
        <f>'ชื่อ-คะแนน'!BS19</f>
        <v/>
      </c>
      <c r="L20" s="1011" t="str">
        <f>'ชื่อ-คะแนน'!CD19</f>
        <v/>
      </c>
      <c r="M20" s="1016" t="str">
        <f>'ชื่อ-คะแนน'!CM19</f>
        <v/>
      </c>
      <c r="N20" s="1011" t="str">
        <f>'ชื่อ-คะแนน'!CQ19</f>
        <v/>
      </c>
      <c r="O20" s="782" t="str">
        <f>'ชื่อ-คะแนน'!CT19</f>
        <v/>
      </c>
      <c r="P20" s="783" t="str">
        <f>'ชื่อ-คะแนน'!CW19</f>
        <v/>
      </c>
      <c r="Q20" s="749" t="str">
        <f>'ชื่อ-คะแนน'!CY19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B4:B6"/>
    <mergeCell ref="C4:C6"/>
    <mergeCell ref="I4:I5"/>
    <mergeCell ref="E4:E6"/>
    <mergeCell ref="O4:O5"/>
    <mergeCell ref="M4:M5"/>
    <mergeCell ref="N4:N5"/>
    <mergeCell ref="L4:L5"/>
    <mergeCell ref="U4:U6"/>
    <mergeCell ref="Q4:Q6"/>
    <mergeCell ref="W4:W6"/>
    <mergeCell ref="V4:V6"/>
    <mergeCell ref="P4:P6"/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606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67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</row>
    <row r="2" spans="1:24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095"/>
      <c r="L2" s="1095"/>
      <c r="M2" s="1095"/>
      <c r="N2" s="1665" t="s">
        <v>325</v>
      </c>
      <c r="O2" s="1665"/>
      <c r="P2" s="1665"/>
      <c r="Q2" s="1095"/>
      <c r="R2" s="1666"/>
      <c r="S2" s="1666"/>
      <c r="T2" s="1666"/>
      <c r="U2" s="1628" t="str">
        <f>ปก!B8&amp;"  "&amp;ปก!D8&amp;"   "</f>
        <v xml:space="preserve">ชั้นประถมศึกษาปีที่   3/2   </v>
      </c>
      <c r="V2" s="1628"/>
    </row>
    <row r="3" spans="1:24" s="1027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33"/>
      <c r="T3" s="1633"/>
      <c r="U3" s="1633"/>
      <c r="V3" s="1633"/>
    </row>
    <row r="4" spans="1:24" ht="19.5" customHeight="1" x14ac:dyDescent="0.5">
      <c r="A4" s="1039"/>
      <c r="B4" s="1580" t="s">
        <v>10</v>
      </c>
      <c r="C4" s="1583" t="s">
        <v>20</v>
      </c>
      <c r="D4" s="1040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59" t="s">
        <v>321</v>
      </c>
      <c r="K4" s="1657" t="s">
        <v>322</v>
      </c>
      <c r="L4" s="1661" t="s">
        <v>323</v>
      </c>
      <c r="M4" s="1663" t="str">
        <f>'ชื่อ-คะแนน'!CI3</f>
        <v/>
      </c>
      <c r="N4" s="1657" t="str">
        <f>'ชื่อ-คะแนน'!CJ3</f>
        <v/>
      </c>
      <c r="O4" s="1657" t="str">
        <f>'ชื่อ-คะแนน'!CK3</f>
        <v/>
      </c>
      <c r="P4" s="1657" t="str">
        <f>'ชื่อ-คะแนน'!CL3</f>
        <v/>
      </c>
      <c r="Q4" s="1646" t="str">
        <f>'ชื่อ-คะแนน'!CM3</f>
        <v>รวม</v>
      </c>
      <c r="R4" s="1648" t="s">
        <v>17</v>
      </c>
      <c r="S4" s="1650" t="s">
        <v>31</v>
      </c>
      <c r="T4" s="1097" t="s">
        <v>318</v>
      </c>
      <c r="U4" s="1098" t="s">
        <v>318</v>
      </c>
      <c r="V4" s="1617" t="s">
        <v>14</v>
      </c>
      <c r="X4" s="1076"/>
    </row>
    <row r="5" spans="1:24" ht="19.5" customHeight="1" thickBot="1" x14ac:dyDescent="0.55000000000000004">
      <c r="A5" s="1039"/>
      <c r="B5" s="1581"/>
      <c r="C5" s="1584"/>
      <c r="D5" s="1041" t="s">
        <v>11</v>
      </c>
      <c r="E5" s="1624"/>
      <c r="F5" s="1603"/>
      <c r="G5" s="1605"/>
      <c r="H5" s="1603"/>
      <c r="I5" s="1639"/>
      <c r="J5" s="1660"/>
      <c r="K5" s="1658"/>
      <c r="L5" s="1662"/>
      <c r="M5" s="1664"/>
      <c r="N5" s="1658"/>
      <c r="O5" s="1658"/>
      <c r="P5" s="1658"/>
      <c r="Q5" s="1647"/>
      <c r="R5" s="1649"/>
      <c r="S5" s="1651"/>
      <c r="T5" s="1653" t="s">
        <v>319</v>
      </c>
      <c r="U5" s="1655" t="s">
        <v>320</v>
      </c>
      <c r="V5" s="1618"/>
      <c r="X5" s="1075"/>
    </row>
    <row r="6" spans="1:24" ht="19.5" customHeight="1" thickBot="1" x14ac:dyDescent="0.55000000000000004">
      <c r="A6" s="1038"/>
      <c r="B6" s="1582"/>
      <c r="C6" s="1585"/>
      <c r="D6" s="104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49"/>
      <c r="S6" s="1652"/>
      <c r="T6" s="1654"/>
      <c r="U6" s="1656"/>
      <c r="V6" s="1619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12392</v>
      </c>
      <c r="D7" s="1044" t="str">
        <f>'ชื่อ-คะแนน'!DB6</f>
        <v>เด็กหญิง กรรณิการ์  สุวะเลิศ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12399</v>
      </c>
      <c r="D8" s="1050" t="str">
        <f>'ชื่อ-คะแนน'!DB7</f>
        <v>เด็กชาย ณัฐรัตน์  สุริยะทา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12401</v>
      </c>
      <c r="D9" s="1050" t="str">
        <f>'ชื่อ-คะแนน'!DB8</f>
        <v>เด็กชาย ตุลากาล  กาวิน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12402</v>
      </c>
      <c r="D10" s="1050" t="str">
        <f>'ชื่อ-คะแนน'!DB9</f>
        <v>เด็กชาย ธนบูรณ์  สุภาดี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12407</v>
      </c>
      <c r="D11" s="1050" t="str">
        <f>'ชื่อ-คะแนน'!DB10</f>
        <v>เด็กชาย พีรกร  บุญฉิม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12408</v>
      </c>
      <c r="D12" s="1065" t="str">
        <f>'ชื่อ-คะแนน'!DB11</f>
        <v>เด็กหญิง ภัทรวรรณ  ชาวิชัย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12415</v>
      </c>
      <c r="D13" s="1050" t="str">
        <f>'ชื่อ-คะแนน'!DB12</f>
        <v>เด็กหญิง ศลักษณ์พร  บุญมา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12416</v>
      </c>
      <c r="D14" s="1050" t="str">
        <f>'ชื่อ-คะแนน'!DB13</f>
        <v>เด็กชาย สิทธิชัย  สุขอ่วม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12752</v>
      </c>
      <c r="D15" s="1050" t="str">
        <f>'ชื่อ-คะแนน'!DB14</f>
        <v>สามเณร ซอยือเล  -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12755</v>
      </c>
      <c r="D16" s="1050" t="str">
        <f>'ชื่อ-คะแนน'!DB15</f>
        <v>สามเณร ตาเบโอ  -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12756</v>
      </c>
      <c r="D17" s="1065" t="str">
        <f>'ชื่อ-คะแนน'!DB16</f>
        <v>สามเณร เนาะหน่อโพ  -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12757</v>
      </c>
      <c r="D18" s="1050" t="str">
        <f>'ชื่อ-คะแนน'!DB17</f>
        <v>สามเณร ยะเพอ  -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 t="str">
        <f>'ชื่อ-คะแนน'!A18</f>
        <v/>
      </c>
      <c r="C19" s="1035">
        <f>'ชื่อ-คะแนน'!B18</f>
        <v>0</v>
      </c>
      <c r="D19" s="1050" t="str">
        <f>'ชื่อ-คะแนน'!DB18</f>
        <v/>
      </c>
      <c r="E19" s="337">
        <f>'ชื่อ-คะแนน'!D18</f>
        <v>0</v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110" t="str">
        <f>IF(E19="เรียน",('ชื่อ-คะแนน'!R18+'ชื่อ-คะแนน'!AA18+'ชื่อ-คะแนน'!AM18),"")</f>
        <v/>
      </c>
      <c r="K19" s="1111" t="str">
        <f>IF(E19="เรียน",'ชื่อ-คะแนน'!AV18,"")</f>
        <v/>
      </c>
      <c r="L19" s="1110" t="str">
        <f>IF(E19="เรียน",('ชื่อ-คะแนน'!BJ18+'ชื่อ-คะแนน'!BS18+'ชื่อ-คะแนน'!CD18),"")</f>
        <v/>
      </c>
      <c r="M19" s="1111" t="str">
        <f>IF(E19="เรียน",'ชื่อ-คะแนน'!CM18,"")</f>
        <v/>
      </c>
      <c r="N19" s="1110" t="str">
        <f>IF(E19="เรียน",'ชื่อ-คะแนน'!CJ18,"")</f>
        <v/>
      </c>
      <c r="O19" s="1112" t="str">
        <f>IF(E19="เรียน",'ชื่อ-คะแนน'!CK18,"")</f>
        <v/>
      </c>
      <c r="P19" s="1110" t="str">
        <f>IF(E19="เรียน",'ชื่อ-คะแนน'!CL18,"")</f>
        <v/>
      </c>
      <c r="Q19" s="1029" t="str">
        <f>'ชื่อ-คะแนน'!CT18</f>
        <v/>
      </c>
      <c r="R19" s="1113" t="str">
        <f>'ชื่อ-คะแนน'!CW18</f>
        <v/>
      </c>
      <c r="S19" s="1122" t="str">
        <f>'ชื่อ-คะแนน'!CY18</f>
        <v/>
      </c>
      <c r="T19" s="1262" t="str">
        <f>'ชื่อ-คะแนน'!DH18</f>
        <v/>
      </c>
      <c r="U19" s="1268" t="str">
        <f>'ชื่อ-คะแนน'!DS18</f>
        <v/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 t="str">
        <f>'ชื่อ-คะแนน'!A19</f>
        <v/>
      </c>
      <c r="C20" s="1035">
        <f>'ชื่อ-คะแนน'!B19</f>
        <v>0</v>
      </c>
      <c r="D20" s="1050" t="str">
        <f>'ชื่อ-คะแนน'!DB19</f>
        <v/>
      </c>
      <c r="E20" s="337">
        <f>'ชื่อ-คะแนน'!D19</f>
        <v>0</v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110" t="str">
        <f>IF(E20="เรียน",('ชื่อ-คะแนน'!R19+'ชื่อ-คะแนน'!AA19+'ชื่อ-คะแนน'!AM19),"")</f>
        <v/>
      </c>
      <c r="K20" s="1111" t="str">
        <f>IF(E20="เรียน",'ชื่อ-คะแนน'!AV19,"")</f>
        <v/>
      </c>
      <c r="L20" s="1110" t="str">
        <f>IF(E20="เรียน",('ชื่อ-คะแนน'!BJ19+'ชื่อ-คะแนน'!BS19+'ชื่อ-คะแนน'!CD19),"")</f>
        <v/>
      </c>
      <c r="M20" s="1111" t="str">
        <f>IF(E20="เรียน",'ชื่อ-คะแนน'!CM19,"")</f>
        <v/>
      </c>
      <c r="N20" s="1110" t="str">
        <f>IF(E20="เรียน",'ชื่อ-คะแนน'!CJ19,"")</f>
        <v/>
      </c>
      <c r="O20" s="1112" t="str">
        <f>IF(E20="เรียน",'ชื่อ-คะแนน'!CK19,"")</f>
        <v/>
      </c>
      <c r="P20" s="1110" t="str">
        <f>IF(E20="เรียน",'ชื่อ-คะแนน'!CL19,"")</f>
        <v/>
      </c>
      <c r="Q20" s="1029" t="str">
        <f>'ชื่อ-คะแนน'!CT19</f>
        <v/>
      </c>
      <c r="R20" s="1113" t="str">
        <f>'ชื่อ-คะแนน'!CW19</f>
        <v/>
      </c>
      <c r="S20" s="1122" t="str">
        <f>'ชื่อ-คะแนน'!CY19</f>
        <v/>
      </c>
      <c r="T20" s="1262" t="str">
        <f>'ชื่อ-คะแนน'!DH19</f>
        <v/>
      </c>
      <c r="U20" s="1268" t="str">
        <f>'ชื่อ-คะแนน'!DS19</f>
        <v/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A2:J2"/>
    <mergeCell ref="N2:P2"/>
    <mergeCell ref="R2:T2"/>
    <mergeCell ref="U2:V2"/>
    <mergeCell ref="J1:V1"/>
    <mergeCell ref="A1:E1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Q4:Q5"/>
    <mergeCell ref="R4:R6"/>
    <mergeCell ref="S4:S6"/>
    <mergeCell ref="V4:V6"/>
    <mergeCell ref="T5:T6"/>
    <mergeCell ref="U5:U6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606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  <c r="AC1" s="1608"/>
    </row>
    <row r="2" spans="1:31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65"/>
      <c r="V2" s="1665"/>
      <c r="W2" s="1665"/>
      <c r="X2" s="1179"/>
      <c r="Y2" s="1179"/>
      <c r="Z2" s="1095"/>
      <c r="AA2" s="1666" t="str">
        <f>ปก!B8&amp;"  "&amp;ปก!D8&amp;"   "</f>
        <v xml:space="preserve">ชั้นประถมศึกษาปีที่   3/2   </v>
      </c>
      <c r="AB2" s="1666"/>
      <c r="AC2" s="1666"/>
    </row>
    <row r="3" spans="1:31" s="1027" customFormat="1" ht="21" customHeight="1" thickBot="1" x14ac:dyDescent="0.6">
      <c r="A3" s="1668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68"/>
      <c r="C3" s="1668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68"/>
      <c r="R3" s="1668"/>
      <c r="S3" s="1668"/>
      <c r="T3" s="1124"/>
      <c r="U3" s="1096"/>
      <c r="V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30"/>
      <c r="X3" s="1630"/>
      <c r="Y3" s="1630"/>
      <c r="Z3" s="1630"/>
      <c r="AA3" s="1630"/>
      <c r="AB3" s="1630"/>
      <c r="AC3" s="1630"/>
    </row>
    <row r="4" spans="1:31" s="1137" customFormat="1" ht="18" customHeight="1" thickBot="1" x14ac:dyDescent="0.6">
      <c r="A4" s="1135"/>
      <c r="B4" s="1580" t="s">
        <v>10</v>
      </c>
      <c r="C4" s="1583" t="s">
        <v>20</v>
      </c>
      <c r="D4" s="1678" t="s">
        <v>11</v>
      </c>
      <c r="E4" s="1623" t="s">
        <v>149</v>
      </c>
      <c r="F4" s="1136"/>
      <c r="G4" s="1136"/>
      <c r="H4" s="1136"/>
      <c r="I4" s="1136"/>
      <c r="J4" s="1672" t="s">
        <v>327</v>
      </c>
      <c r="K4" s="1673"/>
      <c r="L4" s="1673"/>
      <c r="M4" s="1673"/>
      <c r="N4" s="1673"/>
      <c r="O4" s="1674"/>
      <c r="P4" s="1675" t="s">
        <v>326</v>
      </c>
      <c r="Q4" s="1676"/>
      <c r="R4" s="1676"/>
      <c r="S4" s="1676"/>
      <c r="T4" s="1676"/>
      <c r="U4" s="1676"/>
      <c r="V4" s="1676"/>
      <c r="W4" s="1676"/>
      <c r="X4" s="1676"/>
      <c r="Y4" s="1676"/>
      <c r="Z4" s="1677"/>
      <c r="AA4" s="1681" t="s">
        <v>17</v>
      </c>
      <c r="AB4" s="1650" t="s">
        <v>31</v>
      </c>
      <c r="AC4" s="1689" t="s">
        <v>14</v>
      </c>
    </row>
    <row r="5" spans="1:31" ht="19.5" customHeight="1" x14ac:dyDescent="0.5">
      <c r="A5" s="1039"/>
      <c r="B5" s="1581"/>
      <c r="C5" s="1584"/>
      <c r="D5" s="1679"/>
      <c r="E5" s="1624"/>
      <c r="F5" s="1687" t="s">
        <v>200</v>
      </c>
      <c r="G5" s="1604" t="s">
        <v>201</v>
      </c>
      <c r="H5" s="1602" t="s">
        <v>16</v>
      </c>
      <c r="I5" s="1638" t="s">
        <v>13</v>
      </c>
      <c r="J5" s="1684" t="str">
        <f>'ชื่อ-คะแนน'!DC3</f>
        <v>คิด-วิเคราะห์ 1</v>
      </c>
      <c r="K5" s="1684" t="str">
        <f>'ชื่อ-คะแนน'!DD3</f>
        <v>คิด-วิเคราะห์ 2</v>
      </c>
      <c r="L5" s="1684" t="str">
        <f>'ชื่อ-คะแนน'!DE3</f>
        <v>คิด-วิเคราะห์ 3</v>
      </c>
      <c r="M5" s="1684" t="str">
        <f>'ชื่อ-คะแนน'!DF3</f>
        <v>คิด-วิเคราะห์ 4</v>
      </c>
      <c r="N5" s="1684" t="str">
        <f>'ชื่อ-คะแนน'!DG3</f>
        <v>คิด-วิเคราะห์ 5</v>
      </c>
      <c r="O5" s="1097" t="s">
        <v>318</v>
      </c>
      <c r="P5" s="1669" t="str">
        <f>'ชื่อ-คะแนน'!DI3</f>
        <v>คุณลักษณฯ 1</v>
      </c>
      <c r="Q5" s="1669" t="str">
        <f>'ชื่อ-คะแนน'!DJ3</f>
        <v>คุณลักษณฯ 2</v>
      </c>
      <c r="R5" s="1669" t="str">
        <f>'ชื่อ-คะแนน'!DK3</f>
        <v>คุณลักษณฯ 3</v>
      </c>
      <c r="S5" s="1669" t="str">
        <f>'ชื่อ-คะแนน'!DL3</f>
        <v>คุณลักษณฯ 4</v>
      </c>
      <c r="T5" s="1669" t="str">
        <f>'ชื่อ-คะแนน'!DM3</f>
        <v>คุณลักษณฯ 5</v>
      </c>
      <c r="U5" s="1669" t="str">
        <f>'ชื่อ-คะแนน'!DN3</f>
        <v>คุณลักษณฯ 6</v>
      </c>
      <c r="V5" s="1669" t="str">
        <f>'ชื่อ-คะแนน'!DO3</f>
        <v>คุณลักษณฯ 7</v>
      </c>
      <c r="W5" s="1669" t="str">
        <f>'ชื่อ-คะแนน'!DP3</f>
        <v>คุณลักษณฯ 8</v>
      </c>
      <c r="X5" s="1669" t="str">
        <f>'ชื่อ-คะแนน'!DQ3</f>
        <v/>
      </c>
      <c r="Y5" s="1669" t="str">
        <f>'ชื่อ-คะแนน'!DR3</f>
        <v/>
      </c>
      <c r="Z5" s="1098" t="s">
        <v>318</v>
      </c>
      <c r="AA5" s="1682"/>
      <c r="AB5" s="1651"/>
      <c r="AC5" s="1690"/>
      <c r="AE5" s="1076"/>
    </row>
    <row r="6" spans="1:31" ht="19.5" customHeight="1" thickBot="1" x14ac:dyDescent="0.55000000000000004">
      <c r="A6" s="1039"/>
      <c r="B6" s="1581"/>
      <c r="C6" s="1584"/>
      <c r="D6" s="1679"/>
      <c r="E6" s="1624"/>
      <c r="F6" s="1688"/>
      <c r="G6" s="1605"/>
      <c r="H6" s="1603"/>
      <c r="I6" s="1639"/>
      <c r="J6" s="1685"/>
      <c r="K6" s="1685">
        <f>'ชื่อ-คะแนน'!DD4</f>
        <v>0</v>
      </c>
      <c r="L6" s="1685">
        <f>'ชื่อ-คะแนน'!DE4</f>
        <v>0</v>
      </c>
      <c r="M6" s="1685"/>
      <c r="N6" s="1685"/>
      <c r="O6" s="1653" t="s">
        <v>319</v>
      </c>
      <c r="P6" s="1670"/>
      <c r="Q6" s="1670"/>
      <c r="R6" s="1670"/>
      <c r="S6" s="1670"/>
      <c r="T6" s="1670"/>
      <c r="U6" s="1670"/>
      <c r="V6" s="1670"/>
      <c r="W6" s="1670"/>
      <c r="X6" s="1670">
        <f>'ชื่อ-คะแนน'!DQ4</f>
        <v>0</v>
      </c>
      <c r="Y6" s="1670">
        <f>'ชื่อ-คะแนน'!DR4</f>
        <v>0</v>
      </c>
      <c r="Z6" s="1655" t="s">
        <v>320</v>
      </c>
      <c r="AA6" s="1682"/>
      <c r="AB6" s="1651"/>
      <c r="AC6" s="1690"/>
      <c r="AE6" s="1075"/>
    </row>
    <row r="7" spans="1:31" ht="19.5" customHeight="1" thickBot="1" x14ac:dyDescent="0.55000000000000004">
      <c r="A7" s="1038"/>
      <c r="B7" s="1582"/>
      <c r="C7" s="1585"/>
      <c r="D7" s="1680"/>
      <c r="E7" s="1625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6"/>
      <c r="K7" s="1686">
        <f>'ชื่อ-คะแนน'!DD5</f>
        <v>0</v>
      </c>
      <c r="L7" s="1686">
        <f>'ชื่อ-คะแนน'!DE5</f>
        <v>0</v>
      </c>
      <c r="M7" s="1686"/>
      <c r="N7" s="1686"/>
      <c r="O7" s="1654"/>
      <c r="P7" s="1671"/>
      <c r="Q7" s="1671"/>
      <c r="R7" s="1671"/>
      <c r="S7" s="1671"/>
      <c r="T7" s="1671"/>
      <c r="U7" s="1671"/>
      <c r="V7" s="1671"/>
      <c r="W7" s="1671"/>
      <c r="X7" s="1671">
        <f>'ชื่อ-คะแนน'!DQ5</f>
        <v>0</v>
      </c>
      <c r="Y7" s="1671">
        <f>'ชื่อ-คะแนน'!DR5</f>
        <v>0</v>
      </c>
      <c r="Z7" s="1656"/>
      <c r="AA7" s="1683"/>
      <c r="AB7" s="1652"/>
      <c r="AC7" s="1691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12392</v>
      </c>
      <c r="D8" s="1044" t="str">
        <f>'ชื่อ-คะแนน'!DB6</f>
        <v>เด็กหญิง กรรณิการ์  สุวะเลิศ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12399</v>
      </c>
      <c r="D9" s="1050" t="str">
        <f>'ชื่อ-คะแนน'!DB7</f>
        <v>เด็กชาย ณัฐรัตน์  สุริยะทา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12401</v>
      </c>
      <c r="D10" s="1050" t="str">
        <f>'ชื่อ-คะแนน'!DB8</f>
        <v>เด็กชาย ตุลากาล  กาวิน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12402</v>
      </c>
      <c r="D11" s="1050" t="str">
        <f>'ชื่อ-คะแนน'!DB9</f>
        <v>เด็กชาย ธนบูรณ์  สุภาดี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12407</v>
      </c>
      <c r="D12" s="1050" t="str">
        <f>'ชื่อ-คะแนน'!DB10</f>
        <v>เด็กชาย พีรกร  บุญฉิม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12408</v>
      </c>
      <c r="D13" s="1065" t="str">
        <f>'ชื่อ-คะแนน'!DB11</f>
        <v>เด็กหญิง ภัทรวรรณ  ชาวิชัย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12415</v>
      </c>
      <c r="D14" s="1050" t="str">
        <f>'ชื่อ-คะแนน'!DB12</f>
        <v>เด็กหญิง ศลักษณ์พร  บุญมา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12416</v>
      </c>
      <c r="D15" s="1050" t="str">
        <f>'ชื่อ-คะแนน'!DB13</f>
        <v>เด็กชาย สิทธิชัย  สุขอ่วม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12752</v>
      </c>
      <c r="D16" s="1050" t="str">
        <f>'ชื่อ-คะแนน'!DB14</f>
        <v>สามเณร ซอยือเล  -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12755</v>
      </c>
      <c r="D17" s="1050" t="str">
        <f>'ชื่อ-คะแนน'!DB15</f>
        <v>สามเณร ตาเบโอ  -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12756</v>
      </c>
      <c r="D18" s="1065" t="str">
        <f>'ชื่อ-คะแนน'!DB16</f>
        <v>สามเณร เนาะหน่อโพ  -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12757</v>
      </c>
      <c r="D19" s="1050" t="str">
        <f>'ชื่อ-คะแนน'!DB17</f>
        <v>สามเณร ยะเพอ  -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 t="str">
        <f>'ชื่อ-คะแนน'!A18</f>
        <v/>
      </c>
      <c r="C20" s="1035">
        <f>'ชื่อ-คะแนน'!B18</f>
        <v>0</v>
      </c>
      <c r="D20" s="1050" t="str">
        <f>'ชื่อ-คะแนน'!DB18</f>
        <v/>
      </c>
      <c r="E20" s="337">
        <f>'ชื่อ-คะแนน'!D18</f>
        <v>0</v>
      </c>
      <c r="F20" s="791" t="str">
        <f>'ชื่อ-คะแนน'!AB18</f>
        <v/>
      </c>
      <c r="G20" s="791" t="str">
        <f>'ชื่อ-คะแนน'!AW18</f>
        <v/>
      </c>
      <c r="H20" s="792" t="str">
        <f>'ชื่อ-คะแนน'!AY18</f>
        <v/>
      </c>
      <c r="I20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20" s="1133" t="str">
        <f>'ชื่อ-คะแนน'!DC18</f>
        <v/>
      </c>
      <c r="K20" s="1133" t="str">
        <f>'ชื่อ-คะแนน'!DD18</f>
        <v/>
      </c>
      <c r="L20" s="1133" t="str">
        <f>'ชื่อ-คะแนน'!DE18</f>
        <v/>
      </c>
      <c r="M20" s="1133" t="str">
        <f>'ชื่อ-คะแนน'!DF18</f>
        <v/>
      </c>
      <c r="N20" s="1133" t="str">
        <f>'ชื่อ-คะแนน'!DG18</f>
        <v/>
      </c>
      <c r="O20" s="1262" t="str">
        <f>'ชื่อ-คะแนน'!DH18</f>
        <v/>
      </c>
      <c r="P20" s="1130" t="str">
        <f>'ชื่อ-คะแนน'!DI18</f>
        <v/>
      </c>
      <c r="Q20" s="1130" t="str">
        <f>'ชื่อ-คะแนน'!DJ18</f>
        <v/>
      </c>
      <c r="R20" s="1130" t="str">
        <f>'ชื่อ-คะแนน'!DK18</f>
        <v/>
      </c>
      <c r="S20" s="1130" t="str">
        <f>'ชื่อ-คะแนน'!DL18</f>
        <v/>
      </c>
      <c r="T20" s="1130" t="str">
        <f>'ชื่อ-คะแนน'!DM18</f>
        <v/>
      </c>
      <c r="U20" s="1130" t="str">
        <f>'ชื่อ-คะแนน'!DN18</f>
        <v/>
      </c>
      <c r="V20" s="1130" t="str">
        <f>'ชื่อ-คะแนน'!DO18</f>
        <v/>
      </c>
      <c r="W20" s="1130" t="str">
        <f>'ชื่อ-คะแนน'!DP18</f>
        <v/>
      </c>
      <c r="X20" s="1283" t="str">
        <f>'ชื่อ-คะแนน'!DQ18</f>
        <v/>
      </c>
      <c r="Y20" s="1283" t="str">
        <f>'ชื่อ-คะแนน'!DR18</f>
        <v/>
      </c>
      <c r="Z20" s="1268" t="str">
        <f>'ชื่อ-คะแนน'!DS18</f>
        <v/>
      </c>
      <c r="AA20" s="1113" t="str">
        <f>'ชื่อ-คะแนน'!CW18</f>
        <v/>
      </c>
      <c r="AB20" s="1122" t="str">
        <f>'ชื่อ-คะแนน'!CY18</f>
        <v/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 t="str">
        <f>'ชื่อ-คะแนน'!A19</f>
        <v/>
      </c>
      <c r="C21" s="1035">
        <f>'ชื่อ-คะแนน'!B19</f>
        <v>0</v>
      </c>
      <c r="D21" s="1050" t="str">
        <f>'ชื่อ-คะแนน'!DB19</f>
        <v/>
      </c>
      <c r="E21" s="337">
        <f>'ชื่อ-คะแนน'!D19</f>
        <v>0</v>
      </c>
      <c r="F21" s="791" t="str">
        <f>'ชื่อ-คะแนน'!AB19</f>
        <v/>
      </c>
      <c r="G21" s="791" t="str">
        <f>'ชื่อ-คะแนน'!AW19</f>
        <v/>
      </c>
      <c r="H21" s="792" t="str">
        <f>'ชื่อ-คะแนน'!AY19</f>
        <v/>
      </c>
      <c r="I21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1" s="1133" t="str">
        <f>'ชื่อ-คะแนน'!DC19</f>
        <v/>
      </c>
      <c r="K21" s="1133" t="str">
        <f>'ชื่อ-คะแนน'!DD19</f>
        <v/>
      </c>
      <c r="L21" s="1133" t="str">
        <f>'ชื่อ-คะแนน'!DE19</f>
        <v/>
      </c>
      <c r="M21" s="1133" t="str">
        <f>'ชื่อ-คะแนน'!DF19</f>
        <v/>
      </c>
      <c r="N21" s="1133" t="str">
        <f>'ชื่อ-คะแนน'!DG19</f>
        <v/>
      </c>
      <c r="O21" s="1262" t="str">
        <f>'ชื่อ-คะแนน'!DH19</f>
        <v/>
      </c>
      <c r="P21" s="1130" t="str">
        <f>'ชื่อ-คะแนน'!DI19</f>
        <v/>
      </c>
      <c r="Q21" s="1130" t="str">
        <f>'ชื่อ-คะแนน'!DJ19</f>
        <v/>
      </c>
      <c r="R21" s="1130" t="str">
        <f>'ชื่อ-คะแนน'!DK19</f>
        <v/>
      </c>
      <c r="S21" s="1130" t="str">
        <f>'ชื่อ-คะแนน'!DL19</f>
        <v/>
      </c>
      <c r="T21" s="1130" t="str">
        <f>'ชื่อ-คะแนน'!DM19</f>
        <v/>
      </c>
      <c r="U21" s="1130" t="str">
        <f>'ชื่อ-คะแนน'!DN19</f>
        <v/>
      </c>
      <c r="V21" s="1130" t="str">
        <f>'ชื่อ-คะแนน'!DO19</f>
        <v/>
      </c>
      <c r="W21" s="1130" t="str">
        <f>'ชื่อ-คะแนน'!DP19</f>
        <v/>
      </c>
      <c r="X21" s="1283" t="str">
        <f>'ชื่อ-คะแนน'!DQ19</f>
        <v/>
      </c>
      <c r="Y21" s="1283" t="str">
        <f>'ชื่อ-คะแนน'!DR19</f>
        <v/>
      </c>
      <c r="Z21" s="1268" t="str">
        <f>'ชื่อ-คะแนน'!DS19</f>
        <v/>
      </c>
      <c r="AA21" s="1113" t="str">
        <f>'ชื่อ-คะแนน'!CW19</f>
        <v/>
      </c>
      <c r="AB21" s="1122" t="str">
        <f>'ชื่อ-คะแนน'!CY19</f>
        <v/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AC4:AC7"/>
    <mergeCell ref="V5:V7"/>
    <mergeCell ref="W5:W7"/>
    <mergeCell ref="O6:O7"/>
    <mergeCell ref="Z6:Z7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2023-06-22T07:53:40Z</dcterms:modified>
</cp:coreProperties>
</file>