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drawings/drawing6.xml" ContentType="application/vnd.openxmlformats-officedocument.drawing+xml"/>
  <Override PartName="/xl/comments4.xml" ContentType="application/vnd.openxmlformats-officedocument.spreadsheetml.comments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omments5.xml" ContentType="application/vnd.openxmlformats-officedocument.spreadsheetml.comments+xml"/>
  <Override PartName="/xl/charts/chart1.xml" ContentType="application/vnd.openxmlformats-officedocument.drawingml.chart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updateLinks="never" defaultThemeVersion="124226"/>
  <mc:AlternateContent xmlns:mc="http://schemas.openxmlformats.org/markup-compatibility/2006">
    <mc:Choice Requires="x15">
      <x15ac:absPath xmlns:x15ac="http://schemas.microsoft.com/office/spreadsheetml/2010/11/ac" url="D:\___งาน ปพ.5\ปีการศึกษา 2563\ป.4-1\"/>
    </mc:Choice>
  </mc:AlternateContent>
  <bookViews>
    <workbookView showSheetTabs="0" xWindow="0" yWindow="0" windowWidth="20490" windowHeight="7500" tabRatio="783" activeTab="1"/>
  </bookViews>
  <sheets>
    <sheet name="สารบัญ" sheetId="13" r:id="rId1"/>
    <sheet name="DATA" sheetId="11" r:id="rId2"/>
    <sheet name="หน้าปก" sheetId="3" r:id="rId3"/>
    <sheet name="ปพ.5" sheetId="1" r:id="rId4"/>
    <sheet name="เวลาเรียน๑" sheetId="8" r:id="rId5"/>
    <sheet name="เวลาเรียน๒" sheetId="9" r:id="rId6"/>
    <sheet name="สรุปคะแนนA๔" sheetId="5" r:id="rId7"/>
    <sheet name="สรุปผลการเรียน" sheetId="12" r:id="rId8"/>
    <sheet name="คำแนะนำ" sheetId="10" r:id="rId9"/>
  </sheets>
  <externalReferences>
    <externalReference r:id="rId10"/>
  </externalReferences>
  <definedNames>
    <definedName name="_xlnm.Print_Area" localSheetId="3">ปพ.5!$A$1:$BQ$55</definedName>
    <definedName name="_xlnm.Print_Area" localSheetId="4">เวลาเรียน๑!$A$1:$DI$55</definedName>
    <definedName name="_xlnm.Print_Area" localSheetId="5">เวลาเรียน๒!$A$1:$DI$55</definedName>
    <definedName name="_xlnm.Print_Area" localSheetId="6">สรุปคะแนนA๔!$A$1:$H$63</definedName>
    <definedName name="_xlnm.Print_Area" localSheetId="7">สรุปผลการเรียน!$A$1:$I$33</definedName>
    <definedName name="_xlnm.Print_Area" localSheetId="2">หน้าปก!$A$1:$P$49</definedName>
    <definedName name="_xlnm.Print_Titles" localSheetId="6">สรุปคะแนนA๔!$1:$8</definedName>
    <definedName name="Room1">[1]Reference!$A$2</definedName>
    <definedName name="Room10">[1]Reference!$A$11</definedName>
    <definedName name="Room2">[1]Reference!$A$3</definedName>
    <definedName name="Room3">[1]Reference!$A$4</definedName>
    <definedName name="Room4">[1]Reference!$A$5</definedName>
    <definedName name="Room5">[1]Reference!$A$6</definedName>
    <definedName name="Room6">[1]Reference!$A$7</definedName>
    <definedName name="Room7">[1]Reference!$A$8</definedName>
    <definedName name="Room8">[1]Reference!$A$9</definedName>
    <definedName name="Room9">[1]Reference!$A$10</definedName>
    <definedName name="RoomNo">[1]Reference!$A$2:$A$11</definedName>
  </definedNames>
  <calcPr calcId="152511"/>
</workbook>
</file>

<file path=xl/calcChain.xml><?xml version="1.0" encoding="utf-8"?>
<calcChain xmlns="http://schemas.openxmlformats.org/spreadsheetml/2006/main">
  <c r="H4" i="9" l="1"/>
  <c r="DM6" i="9" l="1"/>
  <c r="DO2" i="9" l="1"/>
  <c r="DM55" i="9" l="1"/>
  <c r="DM54" i="9"/>
  <c r="DM53" i="9"/>
  <c r="DM52" i="9"/>
  <c r="DM51" i="9"/>
  <c r="DM50" i="9"/>
  <c r="DM49" i="9"/>
  <c r="DM48" i="9"/>
  <c r="DM47" i="9"/>
  <c r="DM46" i="9"/>
  <c r="DM45" i="9"/>
  <c r="DM44" i="9"/>
  <c r="DM43" i="9"/>
  <c r="DM42" i="9"/>
  <c r="DM41" i="9"/>
  <c r="DM40" i="9"/>
  <c r="DM39" i="9"/>
  <c r="DM38" i="9"/>
  <c r="DM37" i="9"/>
  <c r="DM36" i="9"/>
  <c r="DM35" i="9"/>
  <c r="DM34" i="9"/>
  <c r="DM33" i="9"/>
  <c r="DM32" i="9"/>
  <c r="DM31" i="9"/>
  <c r="DM30" i="9"/>
  <c r="DM29" i="9"/>
  <c r="DM28" i="9"/>
  <c r="DM27" i="9"/>
  <c r="DM26" i="9"/>
  <c r="DM25" i="9"/>
  <c r="DM24" i="9"/>
  <c r="DM23" i="9"/>
  <c r="DM22" i="9"/>
  <c r="DM21" i="9"/>
  <c r="DM20" i="9"/>
  <c r="DM19" i="9"/>
  <c r="DM18" i="9"/>
  <c r="DM17" i="9"/>
  <c r="DM16" i="9"/>
  <c r="DM15" i="9"/>
  <c r="DM14" i="9"/>
  <c r="DM13" i="9"/>
  <c r="DM12" i="9"/>
  <c r="DM11" i="9"/>
  <c r="DM10" i="9"/>
  <c r="DM9" i="9"/>
  <c r="DM8" i="9"/>
  <c r="DM7" i="9"/>
  <c r="DM55" i="8" l="1"/>
  <c r="DM54" i="8"/>
  <c r="DM53" i="8"/>
  <c r="DM52" i="8"/>
  <c r="DM51" i="8"/>
  <c r="DM50" i="8"/>
  <c r="DM49" i="8"/>
  <c r="DM48" i="8"/>
  <c r="DM47" i="8"/>
  <c r="DM46" i="8"/>
  <c r="DM45" i="8"/>
  <c r="DM44" i="8"/>
  <c r="DM43" i="8"/>
  <c r="DM42" i="8"/>
  <c r="DM41" i="8"/>
  <c r="DM40" i="8"/>
  <c r="DM39" i="8"/>
  <c r="DM38" i="8"/>
  <c r="DM37" i="8"/>
  <c r="DM36" i="8"/>
  <c r="DM35" i="8"/>
  <c r="DM34" i="8"/>
  <c r="DM33" i="8"/>
  <c r="DM32" i="8"/>
  <c r="DM31" i="8"/>
  <c r="DM30" i="8"/>
  <c r="DM29" i="8"/>
  <c r="DM28" i="8"/>
  <c r="DM27" i="8"/>
  <c r="DM26" i="8"/>
  <c r="DM25" i="8"/>
  <c r="DM24" i="8"/>
  <c r="DM23" i="8"/>
  <c r="DM22" i="8"/>
  <c r="DM21" i="8"/>
  <c r="DM20" i="8"/>
  <c r="DM19" i="8"/>
  <c r="DM18" i="8"/>
  <c r="DM17" i="8"/>
  <c r="DM16" i="8"/>
  <c r="DM15" i="8"/>
  <c r="DM14" i="8"/>
  <c r="DM13" i="8"/>
  <c r="DM12" i="8"/>
  <c r="DM11" i="8"/>
  <c r="DM10" i="8"/>
  <c r="DM9" i="8"/>
  <c r="DM8" i="8"/>
  <c r="DM7" i="8"/>
  <c r="DM6" i="8"/>
  <c r="K40" i="3" l="1"/>
  <c r="I4" i="8" l="1"/>
  <c r="H4" i="8"/>
  <c r="J4" i="8"/>
  <c r="DL4" i="8" l="1"/>
  <c r="DK4" i="8"/>
  <c r="DJ4" i="8"/>
  <c r="DI4" i="8"/>
  <c r="DH4" i="8"/>
  <c r="DG4" i="8"/>
  <c r="DF4" i="8"/>
  <c r="DE4" i="8"/>
  <c r="DD4" i="8"/>
  <c r="DC4" i="8"/>
  <c r="DB4" i="8"/>
  <c r="DA4" i="8"/>
  <c r="CZ4" i="8"/>
  <c r="CY4" i="8"/>
  <c r="CX4" i="8"/>
  <c r="CW4" i="8"/>
  <c r="CV4" i="8"/>
  <c r="CU4" i="8"/>
  <c r="CT4" i="8"/>
  <c r="CS4" i="8"/>
  <c r="CR4" i="8"/>
  <c r="CQ4" i="8"/>
  <c r="CP4" i="8"/>
  <c r="CO4" i="8"/>
  <c r="CN4" i="8"/>
  <c r="CM4" i="8"/>
  <c r="CL4" i="8"/>
  <c r="CK4" i="8"/>
  <c r="CJ4" i="8"/>
  <c r="CI4" i="8"/>
  <c r="CH4" i="8"/>
  <c r="CG4" i="8"/>
  <c r="CF4" i="8"/>
  <c r="CE4" i="8"/>
  <c r="CD4" i="8"/>
  <c r="CC4" i="8"/>
  <c r="CB4" i="8"/>
  <c r="CA4" i="8"/>
  <c r="BZ4" i="8"/>
  <c r="BY4" i="8"/>
  <c r="BX4" i="8"/>
  <c r="BW4" i="8"/>
  <c r="BV4" i="8"/>
  <c r="BU4" i="8"/>
  <c r="BT4" i="8"/>
  <c r="BS4" i="8"/>
  <c r="BR4" i="8"/>
  <c r="BQ4" i="8"/>
  <c r="BP4" i="8"/>
  <c r="BO4" i="8"/>
  <c r="BN4" i="8"/>
  <c r="BM4" i="8"/>
  <c r="BL4" i="8"/>
  <c r="BK4" i="8"/>
  <c r="BJ4" i="8"/>
  <c r="BI4" i="8"/>
  <c r="BH4" i="8"/>
  <c r="BG4" i="8"/>
  <c r="BF4" i="8"/>
  <c r="BE4" i="8"/>
  <c r="BD4" i="8"/>
  <c r="BC4" i="8"/>
  <c r="BB4" i="8"/>
  <c r="BA4" i="8"/>
  <c r="AZ4" i="8"/>
  <c r="AY4" i="8"/>
  <c r="AX4" i="8"/>
  <c r="AW4" i="8"/>
  <c r="AV4" i="8"/>
  <c r="AU4" i="8"/>
  <c r="AT4" i="8"/>
  <c r="AS4" i="8"/>
  <c r="AR4" i="8"/>
  <c r="AQ4" i="8"/>
  <c r="AP4" i="8"/>
  <c r="AO4" i="8"/>
  <c r="AN4" i="8"/>
  <c r="AM4" i="8"/>
  <c r="AL4" i="8"/>
  <c r="AK4" i="8"/>
  <c r="AJ4" i="8"/>
  <c r="AI4" i="8"/>
  <c r="AH4" i="8"/>
  <c r="AG4" i="8"/>
  <c r="AF4" i="8"/>
  <c r="AE4" i="8"/>
  <c r="AD4" i="8"/>
  <c r="AC4" i="8"/>
  <c r="AB4" i="8"/>
  <c r="AA4" i="8"/>
  <c r="Z4" i="8"/>
  <c r="Y4" i="8"/>
  <c r="X4" i="8"/>
  <c r="W4" i="8"/>
  <c r="V4" i="8"/>
  <c r="U4" i="8"/>
  <c r="T4" i="8"/>
  <c r="S4" i="8"/>
  <c r="R4" i="8"/>
  <c r="Q4" i="8"/>
  <c r="P4" i="8"/>
  <c r="O4" i="8"/>
  <c r="N4" i="8"/>
  <c r="M4" i="8"/>
  <c r="L4" i="8"/>
  <c r="K4" i="8"/>
  <c r="DL4" i="9"/>
  <c r="DK4" i="9"/>
  <c r="DJ4" i="9"/>
  <c r="DI4" i="9"/>
  <c r="DH4" i="9"/>
  <c r="DG4" i="9"/>
  <c r="DF4" i="9"/>
  <c r="DE4" i="9"/>
  <c r="DD4" i="9"/>
  <c r="DC4" i="9"/>
  <c r="DB4" i="9"/>
  <c r="DA4" i="9"/>
  <c r="CZ4" i="9"/>
  <c r="CY4" i="9"/>
  <c r="CX4" i="9"/>
  <c r="CW4" i="9"/>
  <c r="CV4" i="9"/>
  <c r="CU4" i="9"/>
  <c r="CT4" i="9"/>
  <c r="CS4" i="9"/>
  <c r="CR4" i="9"/>
  <c r="CQ4" i="9"/>
  <c r="CP4" i="9"/>
  <c r="CO4" i="9"/>
  <c r="CN4" i="9"/>
  <c r="CM4" i="9"/>
  <c r="CL4" i="9"/>
  <c r="CK4" i="9"/>
  <c r="CJ4" i="9"/>
  <c r="CI4" i="9"/>
  <c r="CH4" i="9"/>
  <c r="CG4" i="9"/>
  <c r="CF4" i="9"/>
  <c r="CE4" i="9"/>
  <c r="CD4" i="9"/>
  <c r="CC4" i="9"/>
  <c r="CB4" i="9"/>
  <c r="CA4" i="9"/>
  <c r="BZ4" i="9"/>
  <c r="BY4" i="9"/>
  <c r="BX4" i="9"/>
  <c r="BW4" i="9"/>
  <c r="BV4" i="9"/>
  <c r="BU4" i="9"/>
  <c r="BT4" i="9"/>
  <c r="BS4" i="9"/>
  <c r="BR4" i="9"/>
  <c r="BQ4" i="9"/>
  <c r="BP4" i="9"/>
  <c r="BO4" i="9"/>
  <c r="BN4" i="9"/>
  <c r="BM4" i="9"/>
  <c r="BL4" i="9"/>
  <c r="BK4" i="9"/>
  <c r="BJ4" i="9"/>
  <c r="BI4" i="9"/>
  <c r="BH4" i="9"/>
  <c r="BG4" i="9"/>
  <c r="BF4" i="9"/>
  <c r="BE4" i="9"/>
  <c r="BD4" i="9"/>
  <c r="BC4" i="9"/>
  <c r="BB4" i="9"/>
  <c r="BA4" i="9"/>
  <c r="AZ4" i="9"/>
  <c r="AY4" i="9"/>
  <c r="AX4" i="9"/>
  <c r="AW4" i="9"/>
  <c r="AV4" i="9"/>
  <c r="AU4" i="9"/>
  <c r="AT4" i="9"/>
  <c r="AS4" i="9"/>
  <c r="AR4" i="9"/>
  <c r="AQ4" i="9"/>
  <c r="AP4" i="9"/>
  <c r="AO4" i="9"/>
  <c r="AN4" i="9"/>
  <c r="AM4" i="9"/>
  <c r="AL4" i="9"/>
  <c r="AK4" i="9"/>
  <c r="AJ4" i="9"/>
  <c r="AI4" i="9"/>
  <c r="AH4" i="9"/>
  <c r="AG4" i="9"/>
  <c r="AF4" i="9"/>
  <c r="AE4" i="9"/>
  <c r="AD4" i="9"/>
  <c r="AC4" i="9"/>
  <c r="AB4" i="9"/>
  <c r="AA4" i="9"/>
  <c r="Z4" i="9"/>
  <c r="Y4" i="9"/>
  <c r="X4" i="9"/>
  <c r="W4" i="9"/>
  <c r="V4" i="9"/>
  <c r="U4" i="9"/>
  <c r="T4" i="9"/>
  <c r="S4" i="9"/>
  <c r="R4" i="9"/>
  <c r="Q4" i="9"/>
  <c r="P4" i="9"/>
  <c r="O4" i="9"/>
  <c r="N4" i="9"/>
  <c r="M4" i="9"/>
  <c r="L4" i="9"/>
  <c r="K4" i="9"/>
  <c r="J4" i="9"/>
  <c r="I4" i="9"/>
  <c r="DO2" i="8"/>
  <c r="AF15" i="1" l="1"/>
  <c r="AF11" i="1"/>
  <c r="AG5" i="1"/>
  <c r="AF5" i="1"/>
  <c r="AF14" i="1" s="1"/>
  <c r="S5" i="1"/>
  <c r="R5" i="1"/>
  <c r="AF12" i="1" l="1"/>
  <c r="AF13" i="1"/>
  <c r="AF10" i="1"/>
  <c r="AH5" i="1"/>
  <c r="T5" i="1"/>
  <c r="DR55" i="9"/>
  <c r="DQ55" i="9" s="1"/>
  <c r="DP55" i="9"/>
  <c r="DO55" i="9"/>
  <c r="DN55" i="9"/>
  <c r="DR54" i="9"/>
  <c r="DP54" i="9"/>
  <c r="DO54" i="9"/>
  <c r="DN54" i="9"/>
  <c r="DQ54" i="9"/>
  <c r="DR53" i="9"/>
  <c r="DQ53" i="9" s="1"/>
  <c r="DP53" i="9"/>
  <c r="DO53" i="9"/>
  <c r="DN53" i="9"/>
  <c r="DR52" i="9"/>
  <c r="DQ52" i="9" s="1"/>
  <c r="DP52" i="9"/>
  <c r="DO52" i="9"/>
  <c r="DN52" i="9"/>
  <c r="DR51" i="9"/>
  <c r="DP51" i="9"/>
  <c r="DO51" i="9"/>
  <c r="DN51" i="9"/>
  <c r="DR50" i="9"/>
  <c r="DP50" i="9"/>
  <c r="DO50" i="9"/>
  <c r="DN50" i="9"/>
  <c r="DR49" i="9"/>
  <c r="DP49" i="9"/>
  <c r="DO49" i="9"/>
  <c r="DN49" i="9"/>
  <c r="DR48" i="9"/>
  <c r="DQ48" i="9" s="1"/>
  <c r="DP48" i="9"/>
  <c r="DO48" i="9"/>
  <c r="DN48" i="9"/>
  <c r="DR47" i="9"/>
  <c r="DQ47" i="9" s="1"/>
  <c r="DP47" i="9"/>
  <c r="DO47" i="9"/>
  <c r="DN47" i="9"/>
  <c r="DR46" i="9"/>
  <c r="DQ46" i="9" s="1"/>
  <c r="DP46" i="9"/>
  <c r="DO46" i="9"/>
  <c r="DN46" i="9"/>
  <c r="DR45" i="9"/>
  <c r="DQ45" i="9" s="1"/>
  <c r="DP45" i="9"/>
  <c r="DO45" i="9"/>
  <c r="DN45" i="9"/>
  <c r="DR44" i="9"/>
  <c r="DP44" i="9"/>
  <c r="DO44" i="9"/>
  <c r="DN44" i="9"/>
  <c r="DR43" i="9"/>
  <c r="DP43" i="9"/>
  <c r="DO43" i="9"/>
  <c r="DN43" i="9"/>
  <c r="DR42" i="9"/>
  <c r="DP42" i="9"/>
  <c r="DO42" i="9"/>
  <c r="DN42" i="9"/>
  <c r="DR41" i="9"/>
  <c r="DP41" i="9"/>
  <c r="DO41" i="9"/>
  <c r="DN41" i="9"/>
  <c r="DR40" i="9"/>
  <c r="DQ40" i="9" s="1"/>
  <c r="DP40" i="9"/>
  <c r="DO40" i="9"/>
  <c r="DN40" i="9"/>
  <c r="DR39" i="9"/>
  <c r="DQ39" i="9" s="1"/>
  <c r="DP39" i="9"/>
  <c r="DO39" i="9"/>
  <c r="DN39" i="9"/>
  <c r="DR38" i="9"/>
  <c r="DQ38" i="9" s="1"/>
  <c r="DP38" i="9"/>
  <c r="DO38" i="9"/>
  <c r="DN38" i="9"/>
  <c r="DR37" i="9"/>
  <c r="DQ37" i="9" s="1"/>
  <c r="DP37" i="9"/>
  <c r="DO37" i="9"/>
  <c r="DN37" i="9"/>
  <c r="DR36" i="9"/>
  <c r="DP36" i="9"/>
  <c r="DO36" i="9"/>
  <c r="DN36" i="9"/>
  <c r="DR35" i="9"/>
  <c r="DP35" i="9"/>
  <c r="DO35" i="9"/>
  <c r="DN35" i="9"/>
  <c r="DR34" i="9"/>
  <c r="DP34" i="9"/>
  <c r="DO34" i="9"/>
  <c r="DN34" i="9"/>
  <c r="DR33" i="9"/>
  <c r="DP33" i="9"/>
  <c r="DO33" i="9"/>
  <c r="DN33" i="9"/>
  <c r="DR32" i="9"/>
  <c r="DQ32" i="9" s="1"/>
  <c r="DP32" i="9"/>
  <c r="DO32" i="9"/>
  <c r="DN32" i="9"/>
  <c r="DR31" i="9"/>
  <c r="DQ31" i="9" s="1"/>
  <c r="DP31" i="9"/>
  <c r="DO31" i="9"/>
  <c r="DN31" i="9"/>
  <c r="DR30" i="9"/>
  <c r="DQ30" i="9" s="1"/>
  <c r="DP30" i="9"/>
  <c r="DO30" i="9"/>
  <c r="DN30" i="9"/>
  <c r="DR29" i="9"/>
  <c r="DQ29" i="9" s="1"/>
  <c r="DP29" i="9"/>
  <c r="DO29" i="9"/>
  <c r="DN29" i="9"/>
  <c r="DR28" i="9"/>
  <c r="DP28" i="9"/>
  <c r="DO28" i="9"/>
  <c r="DN28" i="9"/>
  <c r="DR27" i="9"/>
  <c r="DP27" i="9"/>
  <c r="DO27" i="9"/>
  <c r="DN27" i="9"/>
  <c r="DR26" i="9"/>
  <c r="DP26" i="9"/>
  <c r="DO26" i="9"/>
  <c r="DN26" i="9"/>
  <c r="DR25" i="9"/>
  <c r="DP25" i="9"/>
  <c r="DO25" i="9"/>
  <c r="DN25" i="9"/>
  <c r="DR24" i="9"/>
  <c r="DQ24" i="9" s="1"/>
  <c r="DP24" i="9"/>
  <c r="DO24" i="9"/>
  <c r="DN24" i="9"/>
  <c r="DR23" i="9"/>
  <c r="DQ23" i="9" s="1"/>
  <c r="DP23" i="9"/>
  <c r="DO23" i="9"/>
  <c r="DN23" i="9"/>
  <c r="DR22" i="9"/>
  <c r="DQ22" i="9" s="1"/>
  <c r="DP22" i="9"/>
  <c r="DO22" i="9"/>
  <c r="DN22" i="9"/>
  <c r="DR21" i="9"/>
  <c r="DQ21" i="9" s="1"/>
  <c r="DP21" i="9"/>
  <c r="DO21" i="9"/>
  <c r="DN21" i="9"/>
  <c r="DR20" i="9"/>
  <c r="DP20" i="9"/>
  <c r="DO20" i="9"/>
  <c r="DN20" i="9"/>
  <c r="DR19" i="9"/>
  <c r="DP19" i="9"/>
  <c r="DO19" i="9"/>
  <c r="DN19" i="9"/>
  <c r="DR18" i="9"/>
  <c r="DP18" i="9"/>
  <c r="DO18" i="9"/>
  <c r="DN18" i="9"/>
  <c r="DR17" i="9"/>
  <c r="DP17" i="9"/>
  <c r="DO17" i="9"/>
  <c r="DN17" i="9"/>
  <c r="DR16" i="9"/>
  <c r="DQ16" i="9" s="1"/>
  <c r="DP16" i="9"/>
  <c r="DO16" i="9"/>
  <c r="DN16" i="9"/>
  <c r="DR15" i="9"/>
  <c r="DQ15" i="9" s="1"/>
  <c r="DP15" i="9"/>
  <c r="DO15" i="9"/>
  <c r="DN15" i="9"/>
  <c r="DR14" i="9"/>
  <c r="DQ14" i="9" s="1"/>
  <c r="DP14" i="9"/>
  <c r="DO14" i="9"/>
  <c r="DN14" i="9"/>
  <c r="DR13" i="9"/>
  <c r="DQ13" i="9" s="1"/>
  <c r="DP13" i="9"/>
  <c r="DO13" i="9"/>
  <c r="DN13" i="9"/>
  <c r="DR12" i="9"/>
  <c r="DP12" i="9"/>
  <c r="DO12" i="9"/>
  <c r="DN12" i="9"/>
  <c r="DR11" i="9"/>
  <c r="DP11" i="9"/>
  <c r="DO11" i="9"/>
  <c r="DN11" i="9"/>
  <c r="DR10" i="9"/>
  <c r="DP10" i="9"/>
  <c r="DO10" i="9"/>
  <c r="DN10" i="9"/>
  <c r="DR9" i="9"/>
  <c r="DP9" i="9"/>
  <c r="DO9" i="9"/>
  <c r="DN9" i="9"/>
  <c r="DR8" i="9"/>
  <c r="DQ8" i="9" s="1"/>
  <c r="DP8" i="9"/>
  <c r="DO8" i="9"/>
  <c r="DN8" i="9"/>
  <c r="DR7" i="9"/>
  <c r="DQ7" i="9" s="1"/>
  <c r="DP7" i="9"/>
  <c r="DO7" i="9"/>
  <c r="DN7" i="9"/>
  <c r="DR6" i="9"/>
  <c r="DQ6" i="9" s="1"/>
  <c r="DP6" i="9"/>
  <c r="DO6" i="9"/>
  <c r="DN6" i="9"/>
  <c r="DQ10" i="9" l="1"/>
  <c r="DQ18" i="9"/>
  <c r="DQ26" i="9"/>
  <c r="DQ34" i="9"/>
  <c r="DQ42" i="9"/>
  <c r="DQ50" i="9"/>
  <c r="DQ12" i="9"/>
  <c r="DQ28" i="9"/>
  <c r="DQ36" i="9"/>
  <c r="DQ44" i="9"/>
  <c r="DQ9" i="9"/>
  <c r="DQ17" i="9"/>
  <c r="DQ25" i="9"/>
  <c r="DQ33" i="9"/>
  <c r="DQ41" i="9"/>
  <c r="DQ49" i="9"/>
  <c r="DQ11" i="9"/>
  <c r="DQ19" i="9"/>
  <c r="DQ27" i="9"/>
  <c r="DQ35" i="9"/>
  <c r="DQ43" i="9"/>
  <c r="DQ51" i="9"/>
  <c r="DQ20" i="9"/>
  <c r="DR55" i="8"/>
  <c r="DP55" i="8"/>
  <c r="DO55" i="8"/>
  <c r="DN55" i="8"/>
  <c r="DR54" i="8"/>
  <c r="DP54" i="8"/>
  <c r="DO54" i="8"/>
  <c r="DN54" i="8"/>
  <c r="DR53" i="8"/>
  <c r="DP53" i="8"/>
  <c r="DO53" i="8"/>
  <c r="DN53" i="8"/>
  <c r="DR52" i="8"/>
  <c r="DP52" i="8"/>
  <c r="DO52" i="8"/>
  <c r="DN52" i="8"/>
  <c r="DR51" i="8"/>
  <c r="DP51" i="8"/>
  <c r="DO51" i="8"/>
  <c r="DN51" i="8"/>
  <c r="DR50" i="8"/>
  <c r="DP50" i="8"/>
  <c r="DO50" i="8"/>
  <c r="DN50" i="8"/>
  <c r="DQ50" i="8"/>
  <c r="DR49" i="8"/>
  <c r="DP49" i="8"/>
  <c r="DO49" i="8"/>
  <c r="DN49" i="8"/>
  <c r="DR48" i="8"/>
  <c r="DP48" i="8"/>
  <c r="DO48" i="8"/>
  <c r="DN48" i="8"/>
  <c r="DR47" i="8"/>
  <c r="DP47" i="8"/>
  <c r="DO47" i="8"/>
  <c r="DN47" i="8"/>
  <c r="DR46" i="8"/>
  <c r="DQ46" i="8" s="1"/>
  <c r="DP46" i="8"/>
  <c r="DO46" i="8"/>
  <c r="DN46" i="8"/>
  <c r="DR45" i="8"/>
  <c r="DP45" i="8"/>
  <c r="DO45" i="8"/>
  <c r="DN45" i="8"/>
  <c r="DR44" i="8"/>
  <c r="DP44" i="8"/>
  <c r="DO44" i="8"/>
  <c r="DN44" i="8"/>
  <c r="DR43" i="8"/>
  <c r="DP43" i="8"/>
  <c r="DO43" i="8"/>
  <c r="DN43" i="8"/>
  <c r="DR42" i="8"/>
  <c r="DP42" i="8"/>
  <c r="DO42" i="8"/>
  <c r="DN42" i="8"/>
  <c r="DR41" i="8"/>
  <c r="DP41" i="8"/>
  <c r="DO41" i="8"/>
  <c r="DN41" i="8"/>
  <c r="DR40" i="8"/>
  <c r="DP40" i="8"/>
  <c r="DO40" i="8"/>
  <c r="DN40" i="8"/>
  <c r="DR39" i="8"/>
  <c r="DP39" i="8"/>
  <c r="DO39" i="8"/>
  <c r="DN39" i="8"/>
  <c r="DR38" i="8"/>
  <c r="DQ38" i="8" s="1"/>
  <c r="DP38" i="8"/>
  <c r="DO38" i="8"/>
  <c r="DN38" i="8"/>
  <c r="DR37" i="8"/>
  <c r="DP37" i="8"/>
  <c r="DO37" i="8"/>
  <c r="DN37" i="8"/>
  <c r="DR36" i="8"/>
  <c r="DP36" i="8"/>
  <c r="DO36" i="8"/>
  <c r="DN36" i="8"/>
  <c r="DR35" i="8"/>
  <c r="DP35" i="8"/>
  <c r="DO35" i="8"/>
  <c r="DN35" i="8"/>
  <c r="DR34" i="8"/>
  <c r="DP34" i="8"/>
  <c r="DO34" i="8"/>
  <c r="DN34" i="8"/>
  <c r="DR33" i="8"/>
  <c r="DP33" i="8"/>
  <c r="DO33" i="8"/>
  <c r="DN33" i="8"/>
  <c r="DR32" i="8"/>
  <c r="DP32" i="8"/>
  <c r="DO32" i="8"/>
  <c r="DN32" i="8"/>
  <c r="DR31" i="8"/>
  <c r="DP31" i="8"/>
  <c r="DO31" i="8"/>
  <c r="DN31" i="8"/>
  <c r="DR30" i="8"/>
  <c r="DP30" i="8"/>
  <c r="DO30" i="8"/>
  <c r="DN30" i="8"/>
  <c r="DR29" i="8"/>
  <c r="DP29" i="8"/>
  <c r="DO29" i="8"/>
  <c r="DN29" i="8"/>
  <c r="DR28" i="8"/>
  <c r="DP28" i="8"/>
  <c r="DO28" i="8"/>
  <c r="DN28" i="8"/>
  <c r="DR27" i="8"/>
  <c r="DP27" i="8"/>
  <c r="DO27" i="8"/>
  <c r="DN27" i="8"/>
  <c r="DR26" i="8"/>
  <c r="DP26" i="8"/>
  <c r="DO26" i="8"/>
  <c r="DN26" i="8"/>
  <c r="DR25" i="8"/>
  <c r="DP25" i="8"/>
  <c r="DO25" i="8"/>
  <c r="DN25" i="8"/>
  <c r="DR24" i="8"/>
  <c r="DP24" i="8"/>
  <c r="DO24" i="8"/>
  <c r="DN24" i="8"/>
  <c r="DR23" i="8"/>
  <c r="DP23" i="8"/>
  <c r="DO23" i="8"/>
  <c r="DN23" i="8"/>
  <c r="DR22" i="8"/>
  <c r="DP22" i="8"/>
  <c r="DO22" i="8"/>
  <c r="DN22" i="8"/>
  <c r="DR21" i="8"/>
  <c r="DP21" i="8"/>
  <c r="DO21" i="8"/>
  <c r="DN21" i="8"/>
  <c r="DR20" i="8"/>
  <c r="DP20" i="8"/>
  <c r="DO20" i="8"/>
  <c r="DN20" i="8"/>
  <c r="DR19" i="8"/>
  <c r="DP19" i="8"/>
  <c r="DO19" i="8"/>
  <c r="DN19" i="8"/>
  <c r="DR18" i="8"/>
  <c r="DP18" i="8"/>
  <c r="DO18" i="8"/>
  <c r="DN18" i="8"/>
  <c r="DR17" i="8"/>
  <c r="DP17" i="8"/>
  <c r="DO17" i="8"/>
  <c r="DN17" i="8"/>
  <c r="DR16" i="8"/>
  <c r="DP16" i="8"/>
  <c r="DO16" i="8"/>
  <c r="DN16" i="8"/>
  <c r="DR15" i="8"/>
  <c r="DP15" i="8"/>
  <c r="DO15" i="8"/>
  <c r="DN15" i="8"/>
  <c r="DR14" i="8"/>
  <c r="DP14" i="8"/>
  <c r="DO14" i="8"/>
  <c r="DN14" i="8"/>
  <c r="DR13" i="8"/>
  <c r="DP13" i="8"/>
  <c r="DO13" i="8"/>
  <c r="DN13" i="8"/>
  <c r="DR12" i="8"/>
  <c r="DP12" i="8"/>
  <c r="DO12" i="8"/>
  <c r="DN12" i="8"/>
  <c r="DR11" i="8"/>
  <c r="DP11" i="8"/>
  <c r="DO11" i="8"/>
  <c r="DN11" i="8"/>
  <c r="DR10" i="8"/>
  <c r="DP10" i="8"/>
  <c r="DO10" i="8"/>
  <c r="DN10" i="8"/>
  <c r="DR9" i="8"/>
  <c r="DP9" i="8"/>
  <c r="DO9" i="8"/>
  <c r="DN9" i="8"/>
  <c r="DR8" i="8"/>
  <c r="DP8" i="8"/>
  <c r="DO8" i="8"/>
  <c r="DN8" i="8"/>
  <c r="DR7" i="8"/>
  <c r="DP7" i="8"/>
  <c r="DO7" i="8"/>
  <c r="DN7" i="8"/>
  <c r="DR6" i="8"/>
  <c r="DP6" i="8"/>
  <c r="DO6" i="8"/>
  <c r="DN6" i="8"/>
  <c r="DQ30" i="8" l="1"/>
  <c r="DQ42" i="8"/>
  <c r="DQ51" i="8"/>
  <c r="DQ22" i="8"/>
  <c r="DQ34" i="8"/>
  <c r="DQ26" i="8"/>
  <c r="DQ10" i="8"/>
  <c r="DQ18" i="8"/>
  <c r="DQ11" i="8"/>
  <c r="DQ27" i="8"/>
  <c r="DQ6" i="8"/>
  <c r="DQ40" i="8"/>
  <c r="DQ53" i="8"/>
  <c r="DQ48" i="8"/>
  <c r="DQ21" i="8"/>
  <c r="DQ29" i="8"/>
  <c r="DQ37" i="8"/>
  <c r="DQ45" i="8"/>
  <c r="DQ14" i="8"/>
  <c r="DQ35" i="8"/>
  <c r="DQ19" i="8"/>
  <c r="DQ43" i="8"/>
  <c r="DQ13" i="8"/>
  <c r="DQ15" i="8"/>
  <c r="DQ23" i="8"/>
  <c r="DQ31" i="8"/>
  <c r="DQ39" i="8"/>
  <c r="DQ47" i="8"/>
  <c r="DQ55" i="8"/>
  <c r="DQ7" i="8"/>
  <c r="DQ9" i="8"/>
  <c r="DQ17" i="8"/>
  <c r="DQ25" i="8"/>
  <c r="DQ33" i="8"/>
  <c r="DQ41" i="8"/>
  <c r="DQ49" i="8"/>
  <c r="DQ54" i="8"/>
  <c r="DQ44" i="8"/>
  <c r="DQ24" i="8"/>
  <c r="DQ28" i="8"/>
  <c r="DQ32" i="8"/>
  <c r="DQ52" i="8"/>
  <c r="DQ8" i="8"/>
  <c r="DQ12" i="8"/>
  <c r="DQ20" i="8"/>
  <c r="DQ16" i="8"/>
  <c r="DQ36" i="8"/>
  <c r="BQ29" i="1" l="1"/>
  <c r="BQ28" i="1"/>
  <c r="D50" i="9" l="1"/>
  <c r="D9" i="8"/>
  <c r="D7" i="8"/>
  <c r="A3" i="12" l="1"/>
  <c r="A2" i="12"/>
  <c r="H19" i="12"/>
  <c r="H21" i="12" s="1"/>
  <c r="E4" i="5"/>
  <c r="A4" i="5"/>
  <c r="A3" i="5"/>
  <c r="A2" i="5"/>
  <c r="A1" i="5"/>
  <c r="C1" i="9"/>
  <c r="A1" i="9"/>
  <c r="C1" i="8"/>
  <c r="A1" i="8"/>
  <c r="BJ1" i="1"/>
  <c r="A16" i="3"/>
  <c r="P3" i="1"/>
  <c r="F1" i="1"/>
  <c r="C1" i="1"/>
  <c r="A1" i="1"/>
  <c r="G48" i="3"/>
  <c r="D47" i="3"/>
  <c r="E46" i="3"/>
  <c r="E41" i="3"/>
  <c r="H21" i="3"/>
  <c r="H20" i="3"/>
  <c r="H19" i="3"/>
  <c r="H18" i="3"/>
  <c r="A15" i="3"/>
  <c r="A13" i="3"/>
  <c r="A12" i="3"/>
  <c r="A10" i="3"/>
  <c r="A9" i="3"/>
  <c r="BQ6" i="1" l="1"/>
  <c r="BQ30" i="1" l="1"/>
  <c r="AE5" i="1"/>
  <c r="Q5" i="1"/>
  <c r="R13" i="1" l="1"/>
  <c r="T13" i="1" s="1"/>
  <c r="R12" i="1"/>
  <c r="R15" i="1"/>
  <c r="T15" i="1" s="1"/>
  <c r="R11" i="1"/>
  <c r="T11" i="1" s="1"/>
  <c r="R14" i="1"/>
  <c r="T14" i="1" s="1"/>
  <c r="R10" i="1"/>
  <c r="T10" i="1" s="1"/>
  <c r="R49" i="1"/>
  <c r="T49" i="1" s="1"/>
  <c r="R44" i="1"/>
  <c r="T44" i="1" s="1"/>
  <c r="R29" i="1"/>
  <c r="T29" i="1" s="1"/>
  <c r="R30" i="1"/>
  <c r="T30" i="1" s="1"/>
  <c r="R39" i="1"/>
  <c r="T39" i="1" s="1"/>
  <c r="R34" i="1"/>
  <c r="T34" i="1" s="1"/>
  <c r="R48" i="1"/>
  <c r="T48" i="1" s="1"/>
  <c r="R17" i="1"/>
  <c r="T17" i="1" s="1"/>
  <c r="R52" i="1"/>
  <c r="T52" i="1" s="1"/>
  <c r="R37" i="1"/>
  <c r="T37" i="1" s="1"/>
  <c r="R18" i="1"/>
  <c r="T18" i="1" s="1"/>
  <c r="R38" i="1"/>
  <c r="T38" i="1" s="1"/>
  <c r="R26" i="1"/>
  <c r="T26" i="1" s="1"/>
  <c r="R47" i="1"/>
  <c r="T47" i="1" s="1"/>
  <c r="R25" i="1"/>
  <c r="T25" i="1" s="1"/>
  <c r="R19" i="1"/>
  <c r="T19" i="1" s="1"/>
  <c r="R45" i="1"/>
  <c r="R42" i="1"/>
  <c r="T42" i="1" s="1"/>
  <c r="R46" i="1"/>
  <c r="R50" i="1"/>
  <c r="T50" i="1" s="1"/>
  <c r="R55" i="1"/>
  <c r="T55" i="1" s="1"/>
  <c r="R33" i="1"/>
  <c r="T33" i="1" s="1"/>
  <c r="R27" i="1"/>
  <c r="T27" i="1" s="1"/>
  <c r="R53" i="1"/>
  <c r="T53" i="1" s="1"/>
  <c r="R54" i="1"/>
  <c r="T54" i="1" s="1"/>
  <c r="R8" i="1"/>
  <c r="T8" i="1" s="1"/>
  <c r="R41" i="1"/>
  <c r="T41" i="1" s="1"/>
  <c r="R35" i="1"/>
  <c r="T35" i="1" s="1"/>
  <c r="R16" i="1"/>
  <c r="T16" i="1" s="1"/>
  <c r="R43" i="1"/>
  <c r="T43" i="1" s="1"/>
  <c r="R20" i="1"/>
  <c r="T20" i="1" s="1"/>
  <c r="R21" i="1"/>
  <c r="T21" i="1" s="1"/>
  <c r="R7" i="1"/>
  <c r="T7" i="1" s="1"/>
  <c r="R24" i="1"/>
  <c r="T24" i="1" s="1"/>
  <c r="R51" i="1"/>
  <c r="R28" i="1"/>
  <c r="T28" i="1" s="1"/>
  <c r="R6" i="1"/>
  <c r="R23" i="1"/>
  <c r="T23" i="1" s="1"/>
  <c r="R32" i="1"/>
  <c r="T32" i="1" s="1"/>
  <c r="R36" i="1"/>
  <c r="T36" i="1" s="1"/>
  <c r="R22" i="1"/>
  <c r="T22" i="1" s="1"/>
  <c r="R31" i="1"/>
  <c r="T31" i="1" s="1"/>
  <c r="R40" i="1"/>
  <c r="T40" i="1" s="1"/>
  <c r="R9" i="1"/>
  <c r="T9" i="1" s="1"/>
  <c r="AF17" i="1"/>
  <c r="AH17" i="1" s="1"/>
  <c r="AF51" i="1"/>
  <c r="AH51" i="1" s="1"/>
  <c r="AF52" i="1"/>
  <c r="AH52" i="1" s="1"/>
  <c r="AF47" i="1"/>
  <c r="AH47" i="1" s="1"/>
  <c r="AF55" i="1"/>
  <c r="AH55" i="1" s="1"/>
  <c r="AF25" i="1"/>
  <c r="AH25" i="1" s="1"/>
  <c r="AF48" i="1"/>
  <c r="AF6" i="1"/>
  <c r="AF33" i="1"/>
  <c r="AH33" i="1" s="1"/>
  <c r="AF18" i="1"/>
  <c r="AH18" i="1" s="1"/>
  <c r="AF22" i="1"/>
  <c r="AH22" i="1" s="1"/>
  <c r="AF41" i="1"/>
  <c r="AH41" i="1" s="1"/>
  <c r="AF26" i="1"/>
  <c r="AH26" i="1" s="1"/>
  <c r="AF8" i="1"/>
  <c r="AH8" i="1" s="1"/>
  <c r="AF16" i="1"/>
  <c r="AH16" i="1" s="1"/>
  <c r="AF21" i="1"/>
  <c r="AH21" i="1" s="1"/>
  <c r="AF30" i="1"/>
  <c r="AH30" i="1" s="1"/>
  <c r="AF49" i="1"/>
  <c r="AH49" i="1" s="1"/>
  <c r="AF34" i="1"/>
  <c r="AH34" i="1" s="1"/>
  <c r="AF19" i="1"/>
  <c r="AH19" i="1" s="1"/>
  <c r="AF40" i="1"/>
  <c r="AH40" i="1" s="1"/>
  <c r="AF20" i="1"/>
  <c r="AH20" i="1" s="1"/>
  <c r="AF32" i="1"/>
  <c r="AH32" i="1" s="1"/>
  <c r="AF29" i="1"/>
  <c r="AH29" i="1" s="1"/>
  <c r="AF38" i="1"/>
  <c r="AH38" i="1" s="1"/>
  <c r="AF7" i="1"/>
  <c r="AH7" i="1" s="1"/>
  <c r="AF42" i="1"/>
  <c r="AH42" i="1" s="1"/>
  <c r="AF27" i="1"/>
  <c r="AH27" i="1" s="1"/>
  <c r="AF28" i="1"/>
  <c r="AH28" i="1" s="1"/>
  <c r="AF37" i="1"/>
  <c r="AH37" i="1" s="1"/>
  <c r="AF46" i="1"/>
  <c r="AF23" i="1"/>
  <c r="AH23" i="1" s="1"/>
  <c r="AF50" i="1"/>
  <c r="AH50" i="1" s="1"/>
  <c r="AF35" i="1"/>
  <c r="AH35" i="1" s="1"/>
  <c r="AF36" i="1"/>
  <c r="AH36" i="1" s="1"/>
  <c r="AF45" i="1"/>
  <c r="AH45" i="1" s="1"/>
  <c r="AF54" i="1"/>
  <c r="AH54" i="1" s="1"/>
  <c r="AF31" i="1"/>
  <c r="AH31" i="1" s="1"/>
  <c r="AF9" i="1"/>
  <c r="AF24" i="1"/>
  <c r="AH24" i="1" s="1"/>
  <c r="AF43" i="1"/>
  <c r="AH43" i="1" s="1"/>
  <c r="AF44" i="1"/>
  <c r="AH44" i="1" s="1"/>
  <c r="AF53" i="1"/>
  <c r="AH53" i="1" s="1"/>
  <c r="AF39" i="1"/>
  <c r="AH39" i="1" s="1"/>
  <c r="AH11" i="1"/>
  <c r="AH48" i="1"/>
  <c r="AH9" i="1"/>
  <c r="AH13" i="1"/>
  <c r="AH10" i="1"/>
  <c r="AH14" i="1"/>
  <c r="AH46" i="1"/>
  <c r="AH12" i="1"/>
  <c r="AH15" i="1"/>
  <c r="T12" i="1"/>
  <c r="T45" i="1"/>
  <c r="T46" i="1"/>
  <c r="T51" i="1"/>
  <c r="D55" i="9" l="1"/>
  <c r="C55" i="9"/>
  <c r="B55" i="9"/>
  <c r="A55" i="9"/>
  <c r="D54" i="9"/>
  <c r="C54" i="9"/>
  <c r="B54" i="9"/>
  <c r="A54" i="9"/>
  <c r="D53" i="9"/>
  <c r="C53" i="9"/>
  <c r="B53" i="9"/>
  <c r="A53" i="9"/>
  <c r="D52" i="9"/>
  <c r="C52" i="9"/>
  <c r="B52" i="9"/>
  <c r="A52" i="9"/>
  <c r="D51" i="9"/>
  <c r="C51" i="9"/>
  <c r="B51" i="9"/>
  <c r="A51" i="9"/>
  <c r="C50" i="9"/>
  <c r="B50" i="9"/>
  <c r="A50" i="9"/>
  <c r="D49" i="9"/>
  <c r="C49" i="9"/>
  <c r="B49" i="9"/>
  <c r="A49" i="9"/>
  <c r="D48" i="9"/>
  <c r="C48" i="9"/>
  <c r="B48" i="9"/>
  <c r="A48" i="9"/>
  <c r="D47" i="9"/>
  <c r="C47" i="9"/>
  <c r="B47" i="9"/>
  <c r="A47" i="9"/>
  <c r="D46" i="9"/>
  <c r="C46" i="9"/>
  <c r="B46" i="9"/>
  <c r="A46" i="9"/>
  <c r="D45" i="9"/>
  <c r="C45" i="9"/>
  <c r="B45" i="9"/>
  <c r="A45" i="9"/>
  <c r="D44" i="9"/>
  <c r="C44" i="9"/>
  <c r="B44" i="9"/>
  <c r="A44" i="9"/>
  <c r="D43" i="9"/>
  <c r="C43" i="9"/>
  <c r="B43" i="9"/>
  <c r="A43" i="9"/>
  <c r="D42" i="9"/>
  <c r="C42" i="9"/>
  <c r="B42" i="9"/>
  <c r="A42" i="9"/>
  <c r="D41" i="9"/>
  <c r="C41" i="9"/>
  <c r="B41" i="9"/>
  <c r="A41" i="9"/>
  <c r="D40" i="9"/>
  <c r="C40" i="9"/>
  <c r="B40" i="9"/>
  <c r="A40" i="9"/>
  <c r="D39" i="9"/>
  <c r="C39" i="9"/>
  <c r="B39" i="9"/>
  <c r="A39" i="9"/>
  <c r="D38" i="9"/>
  <c r="C38" i="9"/>
  <c r="B38" i="9"/>
  <c r="A38" i="9"/>
  <c r="D37" i="9"/>
  <c r="C37" i="9"/>
  <c r="B37" i="9"/>
  <c r="A37" i="9"/>
  <c r="D36" i="9"/>
  <c r="C36" i="9"/>
  <c r="B36" i="9"/>
  <c r="A36" i="9"/>
  <c r="D35" i="9"/>
  <c r="C35" i="9"/>
  <c r="B35" i="9"/>
  <c r="A35" i="9"/>
  <c r="D34" i="9"/>
  <c r="C34" i="9"/>
  <c r="B34" i="9"/>
  <c r="A34" i="9"/>
  <c r="D33" i="9"/>
  <c r="C33" i="9"/>
  <c r="B33" i="9"/>
  <c r="A33" i="9"/>
  <c r="D32" i="9"/>
  <c r="C32" i="9"/>
  <c r="B32" i="9"/>
  <c r="A32" i="9"/>
  <c r="D31" i="9"/>
  <c r="C31" i="9"/>
  <c r="B31" i="9"/>
  <c r="A31" i="9"/>
  <c r="D30" i="9"/>
  <c r="C30" i="9"/>
  <c r="B30" i="9"/>
  <c r="A30" i="9"/>
  <c r="D29" i="9"/>
  <c r="C29" i="9"/>
  <c r="B29" i="9"/>
  <c r="A29" i="9"/>
  <c r="D28" i="9"/>
  <c r="C28" i="9"/>
  <c r="B28" i="9"/>
  <c r="A28" i="9"/>
  <c r="D27" i="9"/>
  <c r="C27" i="9"/>
  <c r="B27" i="9"/>
  <c r="A27" i="9"/>
  <c r="D26" i="9"/>
  <c r="C26" i="9"/>
  <c r="B26" i="9"/>
  <c r="A26" i="9"/>
  <c r="D25" i="9"/>
  <c r="C25" i="9"/>
  <c r="B25" i="9"/>
  <c r="A25" i="9"/>
  <c r="D24" i="9"/>
  <c r="C24" i="9"/>
  <c r="B24" i="9"/>
  <c r="A24" i="9"/>
  <c r="D23" i="9"/>
  <c r="C23" i="9"/>
  <c r="B23" i="9"/>
  <c r="A23" i="9"/>
  <c r="D22" i="9"/>
  <c r="C22" i="9"/>
  <c r="B22" i="9"/>
  <c r="A22" i="9"/>
  <c r="D21" i="9"/>
  <c r="C21" i="9"/>
  <c r="B21" i="9"/>
  <c r="A21" i="9"/>
  <c r="D20" i="9"/>
  <c r="C20" i="9"/>
  <c r="B20" i="9"/>
  <c r="A20" i="9"/>
  <c r="D19" i="9"/>
  <c r="C19" i="9"/>
  <c r="B19" i="9"/>
  <c r="A19" i="9"/>
  <c r="D18" i="9"/>
  <c r="C18" i="9"/>
  <c r="B18" i="9"/>
  <c r="A18" i="9"/>
  <c r="D17" i="9"/>
  <c r="C17" i="9"/>
  <c r="B17" i="9"/>
  <c r="A17" i="9"/>
  <c r="D16" i="9"/>
  <c r="C16" i="9"/>
  <c r="B16" i="9"/>
  <c r="A16" i="9"/>
  <c r="D15" i="9"/>
  <c r="C15" i="9"/>
  <c r="B15" i="9"/>
  <c r="A15" i="9"/>
  <c r="D14" i="9"/>
  <c r="C14" i="9"/>
  <c r="B14" i="9"/>
  <c r="A14" i="9"/>
  <c r="D13" i="9"/>
  <c r="C13" i="9"/>
  <c r="B13" i="9"/>
  <c r="A13" i="9"/>
  <c r="D12" i="9"/>
  <c r="C12" i="9"/>
  <c r="B12" i="9"/>
  <c r="A12" i="9"/>
  <c r="D11" i="9"/>
  <c r="C11" i="9"/>
  <c r="B11" i="9"/>
  <c r="A11" i="9"/>
  <c r="D10" i="9"/>
  <c r="C10" i="9"/>
  <c r="B10" i="9"/>
  <c r="A10" i="9"/>
  <c r="D9" i="9"/>
  <c r="C9" i="9"/>
  <c r="B9" i="9"/>
  <c r="A9" i="9"/>
  <c r="D8" i="9"/>
  <c r="C8" i="9"/>
  <c r="B8" i="9"/>
  <c r="A8" i="9"/>
  <c r="D7" i="9"/>
  <c r="C7" i="9"/>
  <c r="B7" i="9"/>
  <c r="A7" i="9"/>
  <c r="D6" i="9"/>
  <c r="C6" i="9"/>
  <c r="B6" i="9"/>
  <c r="A6" i="9"/>
  <c r="A55" i="8" l="1"/>
  <c r="A54" i="8"/>
  <c r="A53" i="8"/>
  <c r="A52" i="8"/>
  <c r="A51" i="8"/>
  <c r="A50" i="8"/>
  <c r="A49" i="8"/>
  <c r="A48" i="8"/>
  <c r="A47" i="8"/>
  <c r="A46" i="8"/>
  <c r="A45" i="8"/>
  <c r="A44" i="8"/>
  <c r="A43" i="8"/>
  <c r="A42" i="8"/>
  <c r="A41" i="8"/>
  <c r="A40" i="8"/>
  <c r="A39" i="8"/>
  <c r="A38" i="8"/>
  <c r="A37" i="8"/>
  <c r="A36" i="8"/>
  <c r="A35" i="8"/>
  <c r="A34" i="8"/>
  <c r="A33" i="8"/>
  <c r="A32" i="8"/>
  <c r="A31" i="8"/>
  <c r="A30" i="8"/>
  <c r="A29" i="8"/>
  <c r="A28" i="8"/>
  <c r="A27" i="8"/>
  <c r="A26" i="8"/>
  <c r="A25" i="8"/>
  <c r="A24" i="8"/>
  <c r="A23" i="8"/>
  <c r="A22" i="8"/>
  <c r="A21" i="8"/>
  <c r="A20" i="8"/>
  <c r="A19" i="8"/>
  <c r="A18" i="8"/>
  <c r="A17" i="8"/>
  <c r="A16" i="8"/>
  <c r="A15" i="8"/>
  <c r="A14" i="8"/>
  <c r="A13" i="8"/>
  <c r="A12" i="8"/>
  <c r="A11" i="8"/>
  <c r="A10" i="8"/>
  <c r="A9" i="8"/>
  <c r="A8" i="8"/>
  <c r="A7" i="8"/>
  <c r="A6" i="8"/>
  <c r="AT6" i="1" l="1"/>
  <c r="D6" i="8"/>
  <c r="D55" i="8"/>
  <c r="D54" i="8"/>
  <c r="D53" i="8"/>
  <c r="D52" i="8"/>
  <c r="D51" i="8"/>
  <c r="D50" i="8"/>
  <c r="D49" i="8"/>
  <c r="D48" i="8"/>
  <c r="D47" i="8"/>
  <c r="D46" i="8"/>
  <c r="D45" i="8"/>
  <c r="D44" i="8"/>
  <c r="D43" i="8"/>
  <c r="D42" i="8"/>
  <c r="D41" i="8"/>
  <c r="D40" i="8"/>
  <c r="D39" i="8"/>
  <c r="D38" i="8"/>
  <c r="D37" i="8"/>
  <c r="D36" i="8"/>
  <c r="D35" i="8"/>
  <c r="D34" i="8"/>
  <c r="D33" i="8"/>
  <c r="D32" i="8"/>
  <c r="D31" i="8"/>
  <c r="D30" i="8"/>
  <c r="D29" i="8"/>
  <c r="D28" i="8"/>
  <c r="D27" i="8"/>
  <c r="D26" i="8"/>
  <c r="D25" i="8"/>
  <c r="D24" i="8"/>
  <c r="D23" i="8"/>
  <c r="D22" i="8"/>
  <c r="D21" i="8"/>
  <c r="D20" i="8"/>
  <c r="D19" i="8"/>
  <c r="D18" i="8"/>
  <c r="D17" i="8"/>
  <c r="D16" i="8"/>
  <c r="D15" i="8"/>
  <c r="D14" i="8"/>
  <c r="D13" i="8"/>
  <c r="D12" i="8"/>
  <c r="D11" i="8"/>
  <c r="D10" i="8"/>
  <c r="D8" i="8"/>
  <c r="C6" i="8"/>
  <c r="C55" i="8"/>
  <c r="C54" i="8"/>
  <c r="C53" i="8"/>
  <c r="C52" i="8"/>
  <c r="C51" i="8"/>
  <c r="C50" i="8"/>
  <c r="C49" i="8"/>
  <c r="C48" i="8"/>
  <c r="C47" i="8"/>
  <c r="C46" i="8"/>
  <c r="C45" i="8"/>
  <c r="C44" i="8"/>
  <c r="C43" i="8"/>
  <c r="C42" i="8"/>
  <c r="C41" i="8"/>
  <c r="C40" i="8"/>
  <c r="C39" i="8"/>
  <c r="C38" i="8"/>
  <c r="C37" i="8"/>
  <c r="C36" i="8"/>
  <c r="C35" i="8"/>
  <c r="C34" i="8"/>
  <c r="C33" i="8"/>
  <c r="C32" i="8"/>
  <c r="C31" i="8"/>
  <c r="C30" i="8"/>
  <c r="C29" i="8"/>
  <c r="C28" i="8"/>
  <c r="C27" i="8"/>
  <c r="C26" i="8"/>
  <c r="C25" i="8"/>
  <c r="C24" i="8"/>
  <c r="C23" i="8"/>
  <c r="C22" i="8"/>
  <c r="C21" i="8"/>
  <c r="C20" i="8"/>
  <c r="C19" i="8"/>
  <c r="C18" i="8"/>
  <c r="C17" i="8"/>
  <c r="C16" i="8"/>
  <c r="C15" i="8"/>
  <c r="C14" i="8"/>
  <c r="C13" i="8"/>
  <c r="C12" i="8"/>
  <c r="C11" i="8"/>
  <c r="C10" i="8"/>
  <c r="C9" i="8"/>
  <c r="C8" i="8"/>
  <c r="B55" i="8"/>
  <c r="B54" i="8"/>
  <c r="B53" i="8"/>
  <c r="B52" i="8"/>
  <c r="B51" i="8"/>
  <c r="B50" i="8"/>
  <c r="B49" i="8"/>
  <c r="B48" i="8"/>
  <c r="B47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31" i="8"/>
  <c r="B30" i="8"/>
  <c r="B29" i="8"/>
  <c r="B28" i="8"/>
  <c r="B27" i="8"/>
  <c r="B26" i="8"/>
  <c r="B25" i="8"/>
  <c r="B24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8" i="8"/>
  <c r="C7" i="8"/>
  <c r="B7" i="8"/>
  <c r="B6" i="8"/>
  <c r="D13" i="5" l="1"/>
  <c r="D14" i="5"/>
  <c r="D15" i="5"/>
  <c r="BQ31" i="1" l="1"/>
  <c r="BQ27" i="1"/>
  <c r="BQ26" i="1"/>
  <c r="BQ25" i="1"/>
  <c r="BQ24" i="1"/>
  <c r="BQ23" i="1"/>
  <c r="BQ22" i="1"/>
  <c r="BQ21" i="1"/>
  <c r="BQ20" i="1"/>
  <c r="BQ15" i="1"/>
  <c r="BQ14" i="1"/>
  <c r="BQ13" i="1"/>
  <c r="BQ12" i="1"/>
  <c r="BQ11" i="1"/>
  <c r="BQ10" i="1"/>
  <c r="BQ9" i="1"/>
  <c r="BQ17" i="1"/>
  <c r="BQ8" i="1"/>
  <c r="BQ7" i="1"/>
  <c r="AT7" i="1" l="1"/>
  <c r="AT8" i="1"/>
  <c r="AT9" i="1"/>
  <c r="AT10" i="1"/>
  <c r="AT11" i="1"/>
  <c r="AT12" i="1"/>
  <c r="AT13" i="1"/>
  <c r="AT14" i="1"/>
  <c r="AT15" i="1"/>
  <c r="AT16" i="1"/>
  <c r="AT17" i="1"/>
  <c r="AT18" i="1"/>
  <c r="AT19" i="1"/>
  <c r="AT20" i="1"/>
  <c r="AT21" i="1"/>
  <c r="AT22" i="1"/>
  <c r="AT23" i="1"/>
  <c r="AT24" i="1"/>
  <c r="AT25" i="1"/>
  <c r="AT26" i="1"/>
  <c r="AT27" i="1"/>
  <c r="AT28" i="1"/>
  <c r="AT29" i="1"/>
  <c r="AT30" i="1"/>
  <c r="AT31" i="1"/>
  <c r="AT32" i="1"/>
  <c r="AT33" i="1"/>
  <c r="AT34" i="1"/>
  <c r="AT35" i="1"/>
  <c r="AT36" i="1"/>
  <c r="AT37" i="1"/>
  <c r="AT38" i="1"/>
  <c r="AT39" i="1"/>
  <c r="AT40" i="1"/>
  <c r="AT41" i="1"/>
  <c r="AT42" i="1"/>
  <c r="AT43" i="1"/>
  <c r="AT44" i="1"/>
  <c r="AT45" i="1"/>
  <c r="AT46" i="1"/>
  <c r="AT47" i="1"/>
  <c r="AT48" i="1"/>
  <c r="AT49" i="1"/>
  <c r="AT50" i="1"/>
  <c r="AT51" i="1"/>
  <c r="AT52" i="1"/>
  <c r="AT53" i="1"/>
  <c r="AT54" i="1"/>
  <c r="AI47" i="1" l="1"/>
  <c r="AI49" i="1"/>
  <c r="AI50" i="1"/>
  <c r="AI51" i="1"/>
  <c r="AI53" i="1"/>
  <c r="AI54" i="1"/>
  <c r="AI55" i="1"/>
  <c r="A57" i="5"/>
  <c r="B57" i="5"/>
  <c r="D57" i="5"/>
  <c r="A58" i="5"/>
  <c r="B58" i="5"/>
  <c r="D58" i="5"/>
  <c r="BG47" i="1"/>
  <c r="BG48" i="1"/>
  <c r="BG49" i="1"/>
  <c r="BG50" i="1"/>
  <c r="BG51" i="1"/>
  <c r="BG52" i="1"/>
  <c r="BG53" i="1"/>
  <c r="BG54" i="1"/>
  <c r="BG55" i="1"/>
  <c r="BA47" i="1"/>
  <c r="BA48" i="1"/>
  <c r="BA49" i="1"/>
  <c r="BA50" i="1"/>
  <c r="BA51" i="1"/>
  <c r="BA52" i="1"/>
  <c r="BA53" i="1"/>
  <c r="BA54" i="1"/>
  <c r="BA55" i="1"/>
  <c r="AU47" i="1"/>
  <c r="AU48" i="1"/>
  <c r="AU49" i="1"/>
  <c r="AU50" i="1"/>
  <c r="AU51" i="1"/>
  <c r="AU52" i="1"/>
  <c r="AU53" i="1"/>
  <c r="AU54" i="1"/>
  <c r="AT55" i="1"/>
  <c r="AU55" i="1" s="1"/>
  <c r="AN47" i="1"/>
  <c r="AN48" i="1"/>
  <c r="AN49" i="1"/>
  <c r="AN50" i="1"/>
  <c r="AN51" i="1"/>
  <c r="AN52" i="1"/>
  <c r="AN53" i="1"/>
  <c r="AN54" i="1"/>
  <c r="AN55" i="1"/>
  <c r="AJ47" i="1"/>
  <c r="AJ48" i="1"/>
  <c r="AJ49" i="1"/>
  <c r="AJ50" i="1"/>
  <c r="AJ51" i="1"/>
  <c r="AJ52" i="1"/>
  <c r="AJ53" i="1"/>
  <c r="AJ54" i="1"/>
  <c r="F57" i="5" s="1"/>
  <c r="AJ55" i="1"/>
  <c r="F58" i="5" s="1"/>
  <c r="F55" i="1"/>
  <c r="A50" i="5"/>
  <c r="A51" i="5"/>
  <c r="A52" i="5"/>
  <c r="A53" i="5"/>
  <c r="A54" i="5"/>
  <c r="A55" i="5"/>
  <c r="A56" i="5"/>
  <c r="BH55" i="1" l="1"/>
  <c r="BI55" i="1" s="1"/>
  <c r="AK53" i="1"/>
  <c r="AL53" i="1" s="1"/>
  <c r="AK51" i="1"/>
  <c r="AL51" i="1" s="1"/>
  <c r="AK49" i="1"/>
  <c r="AL49" i="1" s="1"/>
  <c r="AK47" i="1"/>
  <c r="AL47" i="1" s="1"/>
  <c r="AK50" i="1"/>
  <c r="AL50" i="1" s="1"/>
  <c r="AI52" i="1"/>
  <c r="AK52" i="1" s="1"/>
  <c r="AL52" i="1" s="1"/>
  <c r="AI48" i="1"/>
  <c r="AK48" i="1" s="1"/>
  <c r="AL48" i="1" s="1"/>
  <c r="E57" i="5"/>
  <c r="AK54" i="1"/>
  <c r="AL54" i="1" s="1"/>
  <c r="AK55" i="1"/>
  <c r="AL55" i="1" s="1"/>
  <c r="E58" i="5"/>
  <c r="H55" i="5" l="1"/>
  <c r="H54" i="5"/>
  <c r="H53" i="5"/>
  <c r="H56" i="5"/>
  <c r="H50" i="5"/>
  <c r="H51" i="5"/>
  <c r="H52" i="5"/>
  <c r="G57" i="5"/>
  <c r="G58" i="5"/>
  <c r="H58" i="5"/>
  <c r="BG8" i="1"/>
  <c r="BG9" i="1"/>
  <c r="BG10" i="1"/>
  <c r="BG11" i="1"/>
  <c r="BG12" i="1"/>
  <c r="BG13" i="1"/>
  <c r="BG14" i="1"/>
  <c r="BG15" i="1"/>
  <c r="BG16" i="1"/>
  <c r="BG17" i="1"/>
  <c r="BG18" i="1"/>
  <c r="BG19" i="1"/>
  <c r="BG20" i="1"/>
  <c r="BG21" i="1"/>
  <c r="BG22" i="1"/>
  <c r="BG23" i="1"/>
  <c r="BG24" i="1"/>
  <c r="BG25" i="1"/>
  <c r="BG26" i="1"/>
  <c r="BG27" i="1"/>
  <c r="BG28" i="1"/>
  <c r="BG29" i="1"/>
  <c r="BG30" i="1"/>
  <c r="BG31" i="1"/>
  <c r="BG32" i="1"/>
  <c r="BG33" i="1"/>
  <c r="BG34" i="1"/>
  <c r="BG35" i="1"/>
  <c r="BG36" i="1"/>
  <c r="BG37" i="1"/>
  <c r="BG38" i="1"/>
  <c r="BG39" i="1"/>
  <c r="BG40" i="1"/>
  <c r="BG41" i="1"/>
  <c r="BG42" i="1"/>
  <c r="BG43" i="1"/>
  <c r="BG44" i="1"/>
  <c r="BG45" i="1"/>
  <c r="BG46" i="1"/>
  <c r="BG7" i="1"/>
  <c r="H57" i="5" l="1"/>
  <c r="AI8" i="1"/>
  <c r="AI9" i="1"/>
  <c r="AI10" i="1"/>
  <c r="AI11" i="1"/>
  <c r="AI12" i="1"/>
  <c r="AI13" i="1"/>
  <c r="AI14" i="1"/>
  <c r="AI15" i="1"/>
  <c r="AI16" i="1"/>
  <c r="AI17" i="1"/>
  <c r="AI18" i="1"/>
  <c r="AI19" i="1"/>
  <c r="AI20" i="1"/>
  <c r="AI21" i="1"/>
  <c r="AI22" i="1"/>
  <c r="AI23" i="1"/>
  <c r="AI24" i="1"/>
  <c r="AI25" i="1"/>
  <c r="AI26" i="1"/>
  <c r="AI27" i="1"/>
  <c r="AI28" i="1"/>
  <c r="F6" i="1"/>
  <c r="BA8" i="1"/>
  <c r="BA9" i="1"/>
  <c r="AJ11" i="1"/>
  <c r="F14" i="5" s="1"/>
  <c r="AN6" i="1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36" i="5"/>
  <c r="B37" i="5"/>
  <c r="B38" i="5"/>
  <c r="B39" i="5"/>
  <c r="B40" i="5"/>
  <c r="B41" i="5"/>
  <c r="B42" i="5"/>
  <c r="B43" i="5"/>
  <c r="B44" i="5"/>
  <c r="B45" i="5"/>
  <c r="B46" i="5"/>
  <c r="B47" i="5"/>
  <c r="B48" i="5"/>
  <c r="B49" i="5"/>
  <c r="B50" i="5"/>
  <c r="B51" i="5"/>
  <c r="B52" i="5"/>
  <c r="B53" i="5"/>
  <c r="B54" i="5"/>
  <c r="B55" i="5"/>
  <c r="B56" i="5"/>
  <c r="D10" i="5"/>
  <c r="D11" i="5"/>
  <c r="D12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D42" i="5"/>
  <c r="D43" i="5"/>
  <c r="D44" i="5"/>
  <c r="D45" i="5"/>
  <c r="D46" i="5"/>
  <c r="D47" i="5"/>
  <c r="D48" i="5"/>
  <c r="D49" i="5"/>
  <c r="D50" i="5"/>
  <c r="D51" i="5"/>
  <c r="D52" i="5"/>
  <c r="D53" i="5"/>
  <c r="D54" i="5"/>
  <c r="D55" i="5"/>
  <c r="D56" i="5"/>
  <c r="BG6" i="1"/>
  <c r="BA10" i="1"/>
  <c r="BA11" i="1"/>
  <c r="BA12" i="1"/>
  <c r="BA13" i="1"/>
  <c r="BA14" i="1"/>
  <c r="BA15" i="1"/>
  <c r="BA16" i="1"/>
  <c r="BA17" i="1"/>
  <c r="BA18" i="1"/>
  <c r="BA19" i="1"/>
  <c r="BA20" i="1"/>
  <c r="BH20" i="1" s="1"/>
  <c r="BI20" i="1" s="1"/>
  <c r="BA21" i="1"/>
  <c r="BA22" i="1"/>
  <c r="BA23" i="1"/>
  <c r="BA24" i="1"/>
  <c r="BH24" i="1" s="1"/>
  <c r="BI24" i="1" s="1"/>
  <c r="BA25" i="1"/>
  <c r="BA26" i="1"/>
  <c r="BA27" i="1"/>
  <c r="BA28" i="1"/>
  <c r="BA29" i="1"/>
  <c r="BA30" i="1"/>
  <c r="BA31" i="1"/>
  <c r="BA32" i="1"/>
  <c r="BA33" i="1"/>
  <c r="BA34" i="1"/>
  <c r="BA35" i="1"/>
  <c r="BA36" i="1"/>
  <c r="BA37" i="1"/>
  <c r="BA38" i="1"/>
  <c r="BA39" i="1"/>
  <c r="BA40" i="1"/>
  <c r="BH40" i="1" s="1"/>
  <c r="BI40" i="1" s="1"/>
  <c r="BA41" i="1"/>
  <c r="BA42" i="1"/>
  <c r="BH42" i="1" s="1"/>
  <c r="BI42" i="1" s="1"/>
  <c r="BA43" i="1"/>
  <c r="BA44" i="1"/>
  <c r="BH44" i="1" s="1"/>
  <c r="BI44" i="1" s="1"/>
  <c r="BA45" i="1"/>
  <c r="BA46" i="1"/>
  <c r="BH47" i="1"/>
  <c r="BI47" i="1" s="1"/>
  <c r="BH48" i="1"/>
  <c r="BI48" i="1" s="1"/>
  <c r="BH49" i="1"/>
  <c r="BI49" i="1" s="1"/>
  <c r="BH50" i="1"/>
  <c r="BI50" i="1" s="1"/>
  <c r="BH51" i="1"/>
  <c r="BI51" i="1" s="1"/>
  <c r="BH53" i="1"/>
  <c r="BI53" i="1" s="1"/>
  <c r="BH54" i="1"/>
  <c r="BI54" i="1" s="1"/>
  <c r="BA7" i="1"/>
  <c r="BA6" i="1"/>
  <c r="AU8" i="1"/>
  <c r="AU9" i="1"/>
  <c r="AU10" i="1"/>
  <c r="AU11" i="1"/>
  <c r="AU12" i="1"/>
  <c r="AU13" i="1"/>
  <c r="AU14" i="1"/>
  <c r="AU15" i="1"/>
  <c r="AU16" i="1"/>
  <c r="AU17" i="1"/>
  <c r="AU18" i="1"/>
  <c r="AU19" i="1"/>
  <c r="AU20" i="1"/>
  <c r="AU21" i="1"/>
  <c r="AU22" i="1"/>
  <c r="AU23" i="1"/>
  <c r="AU24" i="1"/>
  <c r="AU25" i="1"/>
  <c r="AU26" i="1"/>
  <c r="AU27" i="1"/>
  <c r="AU28" i="1"/>
  <c r="AU29" i="1"/>
  <c r="AU30" i="1"/>
  <c r="AU31" i="1"/>
  <c r="AU32" i="1"/>
  <c r="AU33" i="1"/>
  <c r="AU34" i="1"/>
  <c r="AU35" i="1"/>
  <c r="AU36" i="1"/>
  <c r="AU37" i="1"/>
  <c r="AU38" i="1"/>
  <c r="AU39" i="1"/>
  <c r="AU40" i="1"/>
  <c r="AU41" i="1"/>
  <c r="AU42" i="1"/>
  <c r="AU43" i="1"/>
  <c r="AU44" i="1"/>
  <c r="AU45" i="1"/>
  <c r="AU46" i="1"/>
  <c r="AU6" i="1"/>
  <c r="AU7" i="1"/>
  <c r="AN7" i="1"/>
  <c r="AN8" i="1"/>
  <c r="AN9" i="1"/>
  <c r="AN10" i="1"/>
  <c r="AN11" i="1"/>
  <c r="AN12" i="1"/>
  <c r="AN13" i="1"/>
  <c r="AN14" i="1"/>
  <c r="AN15" i="1"/>
  <c r="F3" i="1"/>
  <c r="F7" i="1"/>
  <c r="BH52" i="1"/>
  <c r="BI52" i="1" s="1"/>
  <c r="AI38" i="1"/>
  <c r="E41" i="5" s="1"/>
  <c r="AI39" i="1"/>
  <c r="AI40" i="1"/>
  <c r="AI41" i="1"/>
  <c r="AI42" i="1"/>
  <c r="AI43" i="1"/>
  <c r="E46" i="5" s="1"/>
  <c r="AI44" i="1"/>
  <c r="AI46" i="1"/>
  <c r="E49" i="5" s="1"/>
  <c r="E51" i="5"/>
  <c r="F9" i="1"/>
  <c r="C9" i="5"/>
  <c r="D9" i="5"/>
  <c r="B9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F54" i="1"/>
  <c r="F56" i="5"/>
  <c r="F53" i="1"/>
  <c r="F55" i="5"/>
  <c r="F52" i="1"/>
  <c r="F54" i="5"/>
  <c r="E54" i="5"/>
  <c r="F51" i="1"/>
  <c r="F53" i="5"/>
  <c r="F50" i="1"/>
  <c r="F52" i="5"/>
  <c r="E52" i="5"/>
  <c r="F49" i="1"/>
  <c r="F51" i="5"/>
  <c r="F48" i="1"/>
  <c r="E50" i="5"/>
  <c r="F47" i="1"/>
  <c r="AN46" i="1"/>
  <c r="AJ46" i="1"/>
  <c r="F46" i="1"/>
  <c r="AN45" i="1"/>
  <c r="AJ45" i="1"/>
  <c r="F48" i="5" s="1"/>
  <c r="AI45" i="1"/>
  <c r="E48" i="5" s="1"/>
  <c r="F45" i="1"/>
  <c r="AN44" i="1"/>
  <c r="AJ44" i="1"/>
  <c r="F47" i="5" s="1"/>
  <c r="F44" i="1"/>
  <c r="AN43" i="1"/>
  <c r="AJ43" i="1"/>
  <c r="F46" i="5" s="1"/>
  <c r="F43" i="1"/>
  <c r="AN42" i="1"/>
  <c r="AJ42" i="1"/>
  <c r="F45" i="5" s="1"/>
  <c r="F42" i="1"/>
  <c r="AN41" i="1"/>
  <c r="AJ41" i="1"/>
  <c r="F44" i="5" s="1"/>
  <c r="F41" i="1"/>
  <c r="AN40" i="1"/>
  <c r="AJ40" i="1"/>
  <c r="F43" i="5" s="1"/>
  <c r="F40" i="1"/>
  <c r="AN39" i="1"/>
  <c r="AJ39" i="1"/>
  <c r="F42" i="5" s="1"/>
  <c r="F39" i="1"/>
  <c r="AN38" i="1"/>
  <c r="AJ38" i="1"/>
  <c r="F38" i="1"/>
  <c r="AN37" i="1"/>
  <c r="AJ37" i="1"/>
  <c r="F40" i="5" s="1"/>
  <c r="AI37" i="1"/>
  <c r="F37" i="1"/>
  <c r="AN36" i="1"/>
  <c r="AJ36" i="1"/>
  <c r="F39" i="5" s="1"/>
  <c r="AI36" i="1"/>
  <c r="F36" i="1"/>
  <c r="AN35" i="1"/>
  <c r="AJ35" i="1"/>
  <c r="F38" i="5" s="1"/>
  <c r="AI35" i="1"/>
  <c r="F35" i="1"/>
  <c r="AN34" i="1"/>
  <c r="AJ34" i="1"/>
  <c r="F37" i="5" s="1"/>
  <c r="AI34" i="1"/>
  <c r="F34" i="1"/>
  <c r="AN33" i="1"/>
  <c r="AJ33" i="1"/>
  <c r="F36" i="5" s="1"/>
  <c r="AI33" i="1"/>
  <c r="F33" i="1"/>
  <c r="AN32" i="1"/>
  <c r="AJ32" i="1"/>
  <c r="F35" i="5" s="1"/>
  <c r="AI32" i="1"/>
  <c r="F32" i="1"/>
  <c r="AN31" i="1"/>
  <c r="AJ31" i="1"/>
  <c r="F34" i="5" s="1"/>
  <c r="AI31" i="1"/>
  <c r="F31" i="1"/>
  <c r="AN30" i="1"/>
  <c r="AJ30" i="1"/>
  <c r="F33" i="5" s="1"/>
  <c r="AI30" i="1"/>
  <c r="F30" i="1"/>
  <c r="AN29" i="1"/>
  <c r="AJ29" i="1"/>
  <c r="F32" i="5" s="1"/>
  <c r="AI29" i="1"/>
  <c r="F29" i="1"/>
  <c r="AN28" i="1"/>
  <c r="AJ28" i="1"/>
  <c r="F31" i="5" s="1"/>
  <c r="F28" i="1"/>
  <c r="AN27" i="1"/>
  <c r="AJ27" i="1"/>
  <c r="F30" i="5" s="1"/>
  <c r="F27" i="1"/>
  <c r="AN26" i="1"/>
  <c r="AJ26" i="1"/>
  <c r="F29" i="5" s="1"/>
  <c r="F26" i="1"/>
  <c r="AN25" i="1"/>
  <c r="AJ25" i="1"/>
  <c r="F28" i="5" s="1"/>
  <c r="F25" i="1"/>
  <c r="AN24" i="1"/>
  <c r="AJ24" i="1"/>
  <c r="F27" i="5" s="1"/>
  <c r="F24" i="1"/>
  <c r="AN23" i="1"/>
  <c r="AJ23" i="1"/>
  <c r="F26" i="5" s="1"/>
  <c r="F23" i="1"/>
  <c r="AN22" i="1"/>
  <c r="AJ22" i="1"/>
  <c r="F25" i="5" s="1"/>
  <c r="F22" i="1"/>
  <c r="AN21" i="1"/>
  <c r="AJ21" i="1"/>
  <c r="F24" i="5" s="1"/>
  <c r="F21" i="1"/>
  <c r="AN20" i="1"/>
  <c r="AJ20" i="1"/>
  <c r="F23" i="5" s="1"/>
  <c r="F20" i="1"/>
  <c r="AN19" i="1"/>
  <c r="AJ19" i="1"/>
  <c r="F22" i="5" s="1"/>
  <c r="F19" i="1"/>
  <c r="AN18" i="1"/>
  <c r="AJ18" i="1"/>
  <c r="F21" i="5" s="1"/>
  <c r="F18" i="1"/>
  <c r="AN17" i="1"/>
  <c r="AJ17" i="1"/>
  <c r="F20" i="5" s="1"/>
  <c r="F17" i="1"/>
  <c r="AN16" i="1"/>
  <c r="AJ16" i="1"/>
  <c r="F19" i="5" s="1"/>
  <c r="F16" i="1"/>
  <c r="AJ15" i="1"/>
  <c r="F18" i="5" s="1"/>
  <c r="F15" i="1"/>
  <c r="AJ14" i="1"/>
  <c r="F17" i="5" s="1"/>
  <c r="F14" i="1"/>
  <c r="AJ13" i="1"/>
  <c r="F16" i="5" s="1"/>
  <c r="F13" i="1"/>
  <c r="AJ12" i="1"/>
  <c r="F12" i="1"/>
  <c r="F11" i="1"/>
  <c r="AJ10" i="1"/>
  <c r="F13" i="5" s="1"/>
  <c r="F10" i="1"/>
  <c r="AJ9" i="1"/>
  <c r="F12" i="5" s="1"/>
  <c r="AJ8" i="1"/>
  <c r="F11" i="5" s="1"/>
  <c r="F8" i="1"/>
  <c r="AI7" i="1"/>
  <c r="G7" i="12" l="1"/>
  <c r="G9" i="12"/>
  <c r="G8" i="12"/>
  <c r="BQ32" i="1"/>
  <c r="T6" i="1"/>
  <c r="AI6" i="1" s="1"/>
  <c r="AH6" i="1"/>
  <c r="AJ6" i="1" s="1"/>
  <c r="AJ7" i="1"/>
  <c r="F10" i="5" s="1"/>
  <c r="BH6" i="1"/>
  <c r="BI6" i="1" s="1"/>
  <c r="BQ18" i="1"/>
  <c r="BQ16" i="1"/>
  <c r="F2" i="1"/>
  <c r="BN1" i="1"/>
  <c r="F50" i="5"/>
  <c r="G50" i="5"/>
  <c r="E53" i="5"/>
  <c r="G53" i="5"/>
  <c r="E55" i="5"/>
  <c r="G55" i="5"/>
  <c r="E56" i="5"/>
  <c r="G56" i="5"/>
  <c r="F15" i="5"/>
  <c r="BH43" i="1"/>
  <c r="BI43" i="1" s="1"/>
  <c r="BH39" i="1"/>
  <c r="BI39" i="1" s="1"/>
  <c r="BH35" i="1"/>
  <c r="BI35" i="1" s="1"/>
  <c r="BH31" i="1"/>
  <c r="BI31" i="1" s="1"/>
  <c r="BH27" i="1"/>
  <c r="BI27" i="1" s="1"/>
  <c r="BH23" i="1"/>
  <c r="BI23" i="1" s="1"/>
  <c r="BH19" i="1"/>
  <c r="BI19" i="1" s="1"/>
  <c r="BH15" i="1"/>
  <c r="BI15" i="1" s="1"/>
  <c r="BH11" i="1"/>
  <c r="BI11" i="1" s="1"/>
  <c r="E31" i="3"/>
  <c r="C31" i="3"/>
  <c r="G31" i="3"/>
  <c r="BH38" i="1"/>
  <c r="BI38" i="1" s="1"/>
  <c r="BH34" i="1"/>
  <c r="BI34" i="1" s="1"/>
  <c r="BH28" i="1"/>
  <c r="BI28" i="1" s="1"/>
  <c r="BH16" i="1"/>
  <c r="BI16" i="1" s="1"/>
  <c r="BH14" i="1"/>
  <c r="BI14" i="1" s="1"/>
  <c r="BH12" i="1"/>
  <c r="BI12" i="1" s="1"/>
  <c r="BH7" i="1"/>
  <c r="BI7" i="1" s="1"/>
  <c r="BH46" i="1"/>
  <c r="BI46" i="1" s="1"/>
  <c r="BH45" i="1"/>
  <c r="BI45" i="1" s="1"/>
  <c r="BH41" i="1"/>
  <c r="BI41" i="1" s="1"/>
  <c r="BH37" i="1"/>
  <c r="BI37" i="1" s="1"/>
  <c r="BH36" i="1"/>
  <c r="BI36" i="1" s="1"/>
  <c r="BH33" i="1"/>
  <c r="BI33" i="1" s="1"/>
  <c r="BH32" i="1"/>
  <c r="BI32" i="1" s="1"/>
  <c r="BH30" i="1"/>
  <c r="BI30" i="1" s="1"/>
  <c r="BH29" i="1"/>
  <c r="BI29" i="1" s="1"/>
  <c r="BH26" i="1"/>
  <c r="BI26" i="1" s="1"/>
  <c r="BH25" i="1"/>
  <c r="BI25" i="1" s="1"/>
  <c r="BH22" i="1"/>
  <c r="BI22" i="1" s="1"/>
  <c r="BH21" i="1"/>
  <c r="BI21" i="1" s="1"/>
  <c r="BH18" i="1"/>
  <c r="BI18" i="1" s="1"/>
  <c r="BH17" i="1"/>
  <c r="BI17" i="1" s="1"/>
  <c r="BH13" i="1"/>
  <c r="BI13" i="1" s="1"/>
  <c r="BH10" i="1"/>
  <c r="BI10" i="1" s="1"/>
  <c r="BH9" i="1"/>
  <c r="BI9" i="1" s="1"/>
  <c r="BH8" i="1"/>
  <c r="BI8" i="1" s="1"/>
  <c r="E32" i="5"/>
  <c r="AK29" i="1"/>
  <c r="AL29" i="1" s="1"/>
  <c r="E47" i="5"/>
  <c r="AK44" i="1"/>
  <c r="AL44" i="1" s="1"/>
  <c r="E45" i="5"/>
  <c r="AK42" i="1"/>
  <c r="AL42" i="1" s="1"/>
  <c r="E26" i="5"/>
  <c r="AK23" i="1"/>
  <c r="AL23" i="1" s="1"/>
  <c r="E18" i="5"/>
  <c r="AK15" i="1"/>
  <c r="AL15" i="1" s="1"/>
  <c r="E14" i="5"/>
  <c r="AK11" i="1"/>
  <c r="AL11" i="1" s="1"/>
  <c r="E42" i="5"/>
  <c r="AK39" i="1"/>
  <c r="AL39" i="1" s="1"/>
  <c r="E31" i="5"/>
  <c r="AK28" i="1"/>
  <c r="AL28" i="1" s="1"/>
  <c r="E27" i="5"/>
  <c r="AK24" i="1"/>
  <c r="AL24" i="1" s="1"/>
  <c r="AK20" i="1"/>
  <c r="AL20" i="1" s="1"/>
  <c r="E23" i="5"/>
  <c r="E19" i="5"/>
  <c r="AK16" i="1"/>
  <c r="AL16" i="1" s="1"/>
  <c r="E15" i="5"/>
  <c r="AK12" i="1"/>
  <c r="AL12" i="1" s="1"/>
  <c r="E11" i="5"/>
  <c r="AK8" i="1"/>
  <c r="AL8" i="1" s="1"/>
  <c r="E43" i="5"/>
  <c r="AK40" i="1"/>
  <c r="AL40" i="1" s="1"/>
  <c r="E28" i="5"/>
  <c r="AK25" i="1"/>
  <c r="AL25" i="1" s="1"/>
  <c r="E24" i="5"/>
  <c r="AK21" i="1"/>
  <c r="AL21" i="1" s="1"/>
  <c r="E20" i="5"/>
  <c r="AK17" i="1"/>
  <c r="AL17" i="1" s="1"/>
  <c r="E16" i="5"/>
  <c r="AK13" i="1"/>
  <c r="AL13" i="1" s="1"/>
  <c r="E12" i="5"/>
  <c r="AK9" i="1"/>
  <c r="AL9" i="1" s="1"/>
  <c r="E33" i="5"/>
  <c r="AK30" i="1"/>
  <c r="AL30" i="1" s="1"/>
  <c r="E34" i="5"/>
  <c r="AK31" i="1"/>
  <c r="AL31" i="1" s="1"/>
  <c r="F49" i="5"/>
  <c r="AK46" i="1"/>
  <c r="AL46" i="1" s="1"/>
  <c r="E30" i="5"/>
  <c r="AK27" i="1"/>
  <c r="AL27" i="1" s="1"/>
  <c r="E22" i="5"/>
  <c r="AK19" i="1"/>
  <c r="AL19" i="1" s="1"/>
  <c r="E35" i="5"/>
  <c r="AK32" i="1"/>
  <c r="AL32" i="1" s="1"/>
  <c r="E36" i="5"/>
  <c r="AK33" i="1"/>
  <c r="AL33" i="1" s="1"/>
  <c r="E37" i="5"/>
  <c r="AK34" i="1"/>
  <c r="AL34" i="1" s="1"/>
  <c r="E38" i="5"/>
  <c r="AK35" i="1"/>
  <c r="AL35" i="1" s="1"/>
  <c r="E39" i="5"/>
  <c r="AK36" i="1"/>
  <c r="AL36" i="1" s="1"/>
  <c r="E40" i="5"/>
  <c r="AK37" i="1"/>
  <c r="AL37" i="1" s="1"/>
  <c r="F41" i="5"/>
  <c r="AK38" i="1"/>
  <c r="AL38" i="1" s="1"/>
  <c r="E44" i="5"/>
  <c r="AK41" i="1"/>
  <c r="AL41" i="1" s="1"/>
  <c r="E29" i="5"/>
  <c r="AK26" i="1"/>
  <c r="AL26" i="1" s="1"/>
  <c r="E25" i="5"/>
  <c r="AK22" i="1"/>
  <c r="AL22" i="1" s="1"/>
  <c r="AK18" i="1"/>
  <c r="AL18" i="1" s="1"/>
  <c r="E21" i="5"/>
  <c r="AK14" i="1"/>
  <c r="AL14" i="1" s="1"/>
  <c r="E17" i="5"/>
  <c r="E13" i="5"/>
  <c r="AK10" i="1"/>
  <c r="AL10" i="1" s="1"/>
  <c r="AK43" i="1"/>
  <c r="AL43" i="1" s="1"/>
  <c r="AK45" i="1"/>
  <c r="AL45" i="1" s="1"/>
  <c r="E10" i="5"/>
  <c r="G15" i="12" l="1"/>
  <c r="G14" i="12"/>
  <c r="G16" i="12"/>
  <c r="G10" i="12"/>
  <c r="H9" i="12" s="1"/>
  <c r="AK7" i="1"/>
  <c r="AL7" i="1" s="1"/>
  <c r="E9" i="5"/>
  <c r="E59" i="5" s="1"/>
  <c r="E61" i="5" s="1"/>
  <c r="AK6" i="1"/>
  <c r="AL6" i="1" s="1"/>
  <c r="F9" i="5"/>
  <c r="F59" i="5" s="1"/>
  <c r="F61" i="5" s="1"/>
  <c r="AK5" i="1"/>
  <c r="G54" i="5"/>
  <c r="G52" i="5"/>
  <c r="G51" i="5"/>
  <c r="I31" i="3"/>
  <c r="M31" i="3"/>
  <c r="K31" i="3"/>
  <c r="G13" i="5"/>
  <c r="G29" i="5"/>
  <c r="G41" i="5"/>
  <c r="G39" i="5"/>
  <c r="G37" i="5"/>
  <c r="G30" i="5"/>
  <c r="G34" i="5"/>
  <c r="G12" i="5"/>
  <c r="G20" i="5"/>
  <c r="G28" i="5"/>
  <c r="G11" i="5"/>
  <c r="G19" i="5"/>
  <c r="G27" i="5"/>
  <c r="G42" i="5"/>
  <c r="G18" i="5"/>
  <c r="G45" i="5"/>
  <c r="G32" i="5"/>
  <c r="G46" i="5"/>
  <c r="G17" i="5"/>
  <c r="G23" i="5"/>
  <c r="G21" i="5"/>
  <c r="G35" i="5"/>
  <c r="G48" i="5"/>
  <c r="G25" i="5"/>
  <c r="G44" i="5"/>
  <c r="G40" i="5"/>
  <c r="G38" i="5"/>
  <c r="G36" i="5"/>
  <c r="G22" i="5"/>
  <c r="G49" i="5"/>
  <c r="G33" i="5"/>
  <c r="G16" i="5"/>
  <c r="G24" i="5"/>
  <c r="G43" i="5"/>
  <c r="G15" i="5"/>
  <c r="G31" i="5"/>
  <c r="G14" i="5"/>
  <c r="G26" i="5"/>
  <c r="G47" i="5"/>
  <c r="G10" i="5" l="1"/>
  <c r="G17" i="12"/>
  <c r="H15" i="12" s="1"/>
  <c r="B11" i="12"/>
  <c r="B12" i="12"/>
  <c r="B14" i="12"/>
  <c r="B8" i="12"/>
  <c r="B9" i="12"/>
  <c r="D9" i="12" s="1"/>
  <c r="B13" i="12"/>
  <c r="B10" i="12"/>
  <c r="B7" i="12"/>
  <c r="H7" i="12"/>
  <c r="H8" i="12"/>
  <c r="G9" i="5"/>
  <c r="G59" i="5" s="1"/>
  <c r="G61" i="5" s="1"/>
  <c r="M26" i="3" s="1"/>
  <c r="H14" i="5"/>
  <c r="H48" i="5"/>
  <c r="H18" i="5"/>
  <c r="H33" i="5"/>
  <c r="H26" i="5"/>
  <c r="H43" i="5"/>
  <c r="H16" i="5"/>
  <c r="H36" i="5"/>
  <c r="H25" i="5"/>
  <c r="H35" i="5"/>
  <c r="H46" i="5"/>
  <c r="H45" i="5"/>
  <c r="H28" i="5"/>
  <c r="H12" i="5"/>
  <c r="H30" i="5"/>
  <c r="H39" i="5"/>
  <c r="H29" i="5"/>
  <c r="H49" i="5"/>
  <c r="H23" i="5"/>
  <c r="H42" i="5"/>
  <c r="H19" i="5"/>
  <c r="H47" i="5"/>
  <c r="H38" i="5"/>
  <c r="H17" i="5"/>
  <c r="H11" i="5"/>
  <c r="H34" i="5"/>
  <c r="H37" i="5"/>
  <c r="H13" i="5"/>
  <c r="H24" i="5"/>
  <c r="H44" i="5"/>
  <c r="H27" i="5"/>
  <c r="H32" i="5"/>
  <c r="H20" i="5"/>
  <c r="H41" i="5"/>
  <c r="H22" i="5"/>
  <c r="H21" i="5"/>
  <c r="H15" i="5"/>
  <c r="H31" i="5"/>
  <c r="H40" i="5"/>
  <c r="H10" i="5"/>
  <c r="E26" i="3"/>
  <c r="E27" i="3" s="1"/>
  <c r="L26" i="3"/>
  <c r="L27" i="3" s="1"/>
  <c r="J26" i="3"/>
  <c r="J27" i="3" s="1"/>
  <c r="H26" i="3"/>
  <c r="H27" i="3" s="1"/>
  <c r="F26" i="3"/>
  <c r="F27" i="3" s="1"/>
  <c r="K26" i="3"/>
  <c r="K27" i="3" s="1"/>
  <c r="I26" i="3"/>
  <c r="I27" i="3" s="1"/>
  <c r="G26" i="3"/>
  <c r="G27" i="3" s="1"/>
  <c r="H9" i="5"/>
  <c r="H14" i="12" l="1"/>
  <c r="H16" i="12"/>
  <c r="E13" i="12"/>
  <c r="C15" i="12" s="1"/>
  <c r="D7" i="12"/>
  <c r="B15" i="12"/>
  <c r="C7" i="12" s="1"/>
  <c r="D8" i="12"/>
  <c r="D10" i="12"/>
  <c r="D14" i="12"/>
  <c r="D13" i="12"/>
  <c r="D12" i="12"/>
  <c r="D11" i="12"/>
  <c r="H10" i="12"/>
  <c r="A26" i="3"/>
  <c r="H17" i="12" l="1"/>
  <c r="C11" i="12"/>
  <c r="C13" i="12"/>
  <c r="C10" i="12"/>
  <c r="C9" i="12"/>
  <c r="E15" i="12"/>
  <c r="C12" i="12"/>
  <c r="C14" i="12"/>
  <c r="C8" i="12"/>
  <c r="E14" i="12"/>
  <c r="BQ33" i="1"/>
  <c r="D15" i="12" l="1"/>
</calcChain>
</file>

<file path=xl/comments1.xml><?xml version="1.0" encoding="utf-8"?>
<comments xmlns="http://schemas.openxmlformats.org/spreadsheetml/2006/main">
  <authors>
    <author>n007</author>
  </authors>
  <commentList>
    <comment ref="M26" authorId="0" shapeId="0">
      <text>
        <r>
          <rPr>
            <b/>
            <sz val="9"/>
            <color indexed="81"/>
            <rFont val="Tahoma"/>
            <family val="2"/>
          </rPr>
          <t xml:space="preserve">ให้คำนวนเอง ถ้าไม่เข้าใจ ดูตัวอย่างจาก Sheet สรุปคะแนนA4
</t>
        </r>
      </text>
    </comment>
  </commentList>
</comments>
</file>

<file path=xl/comments2.xml><?xml version="1.0" encoding="utf-8"?>
<comments xmlns="http://schemas.openxmlformats.org/spreadsheetml/2006/main">
  <authors>
    <author>กิตติศักดิ์</author>
  </authors>
  <commentList>
    <comment ref="G5" authorId="0" shapeId="0">
      <text>
        <r>
          <rPr>
            <b/>
            <sz val="9"/>
            <color indexed="81"/>
            <rFont val="Tahoma"/>
            <family val="2"/>
          </rPr>
          <t>แนะนำ: พิมพ์คะแนนตามต้องการในแต่ละช่อง ได้ไม่จำกัดคะแนน เช่นช่องละ  10,15,20 คะแนนะ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user</author>
    <author>กิตติศักดิ์</author>
  </authors>
  <commentList>
    <comment ref="G4" authorId="0" shapeId="0">
      <text>
        <r>
          <rPr>
            <b/>
            <sz val="9"/>
            <color indexed="81"/>
            <rFont val="Tahoma"/>
            <family val="2"/>
          </rPr>
          <t>แนะนำ:เริ่ม</t>
        </r>
        <r>
          <rPr>
            <sz val="9"/>
            <color indexed="81"/>
            <rFont val="Tahoma"/>
            <family val="2"/>
          </rPr>
          <t>พิมพ์วันที่ต้นสัปดาห์
ทุกวันจันทร์ (29 มิถุนายน 2563) ช่องแรก</t>
        </r>
      </text>
    </comment>
    <comment ref="F5" authorId="1" shapeId="0">
      <text>
        <r>
          <rPr>
            <b/>
            <sz val="8"/>
            <color indexed="81"/>
            <rFont val="Tahoma"/>
            <family val="2"/>
          </rPr>
          <t>แนะนำ: ลงจำนวนชั่วโมงในการสอนแต่ละวัน ให้เรียงลำดับ จาก ๑ ,๒ , จนครบ จำนวนชั่วโมงเรียน</t>
        </r>
      </text>
    </comment>
  </commentList>
</comments>
</file>

<file path=xl/comments4.xml><?xml version="1.0" encoding="utf-8"?>
<comments xmlns="http://schemas.openxmlformats.org/spreadsheetml/2006/main">
  <authors>
    <author>user</author>
    <author>กิตติศักดิ์</author>
  </authors>
  <commentList>
    <comment ref="G4" authorId="0" shapeId="0">
      <text>
        <r>
          <rPr>
            <b/>
            <sz val="9"/>
            <color indexed="81"/>
            <rFont val="Tahoma"/>
            <family val="2"/>
          </rPr>
          <t>แนะนำ:เริ่ม</t>
        </r>
        <r>
          <rPr>
            <sz val="9"/>
            <color indexed="81"/>
            <rFont val="Tahoma"/>
            <family val="2"/>
          </rPr>
          <t>พิมพ์วันที่ต้นสัปดาห์
ทุกวันจันทร์ (30 พฤศจิกายน 2563) ช่องแรก</t>
        </r>
      </text>
    </comment>
    <comment ref="F5" authorId="1" shapeId="0">
      <text>
        <r>
          <rPr>
            <b/>
            <sz val="8"/>
            <color indexed="81"/>
            <rFont val="Tahoma"/>
            <family val="2"/>
          </rPr>
          <t>แนะนำ: ลงจำนวนชั่วโมงในการสอนแต่ละวัน ให้เรียงลำดับ จาก ๑ ,๒ , จนครบ จำนวนชั่วโมงเรียน</t>
        </r>
      </text>
    </comment>
  </commentList>
</comments>
</file>

<file path=xl/comments5.xml><?xml version="1.0" encoding="utf-8"?>
<comments xmlns="http://schemas.openxmlformats.org/spreadsheetml/2006/main">
  <authors>
    <author>aaa</author>
  </authors>
  <commentList>
    <comment ref="H20" authorId="0" shapeId="0">
      <text>
        <r>
          <rPr>
            <b/>
            <sz val="9"/>
            <color indexed="81"/>
            <rFont val="Tahoma"/>
            <family val="2"/>
          </rPr>
          <t xml:space="preserve">
แก้ ถ้านักเรียนออกระหว่างภารเรียน
เพื่อการประมวลผล
</t>
        </r>
      </text>
    </comment>
  </commentList>
</comments>
</file>

<file path=xl/sharedStrings.xml><?xml version="1.0" encoding="utf-8"?>
<sst xmlns="http://schemas.openxmlformats.org/spreadsheetml/2006/main" count="855" uniqueCount="454">
  <si>
    <t>คุณลักษณะที่พึงประสงค์</t>
  </si>
  <si>
    <t>อ่าน  คิดวิเคราะห์ และเขียนสื่อความ</t>
  </si>
  <si>
    <t>เลขที่</t>
  </si>
  <si>
    <t>เลขประจำตัว</t>
  </si>
  <si>
    <t>เลขประชาชน</t>
  </si>
  <si>
    <t>ชื่อ - สกุล</t>
  </si>
  <si>
    <t>ระดับผลการเรียน</t>
  </si>
  <si>
    <t>หมายเหตุ</t>
  </si>
  <si>
    <t>ฐานนิยม</t>
  </si>
  <si>
    <t>ระดับคุณภาพ</t>
  </si>
  <si>
    <t>อ่านและเขียนวิเคราะห์</t>
  </si>
  <si>
    <t>เขียนสื่อความ</t>
  </si>
  <si>
    <t>สรุป</t>
  </si>
  <si>
    <t>ข้อที่</t>
  </si>
  <si>
    <t>รหัสมาตรฐาน/</t>
  </si>
  <si>
    <t>ตัวชี้วัด</t>
  </si>
  <si>
    <t>หน่วยที่</t>
  </si>
  <si>
    <t>คะแนน</t>
  </si>
  <si>
    <t>เก็บ</t>
  </si>
  <si>
    <t>สอบ</t>
  </si>
  <si>
    <t>เต็ม</t>
  </si>
  <si>
    <t>ภาคเรียนที่</t>
  </si>
  <si>
    <t>รวม</t>
  </si>
  <si>
    <t>1579900969204</t>
  </si>
  <si>
    <t>1579900996350</t>
  </si>
  <si>
    <t>1508700012061</t>
  </si>
  <si>
    <t>1579901007023</t>
  </si>
  <si>
    <t>1570501301821</t>
  </si>
  <si>
    <t>1579900977011</t>
  </si>
  <si>
    <t>1579901002706</t>
  </si>
  <si>
    <t>1579900997841</t>
  </si>
  <si>
    <t>1579901002803</t>
  </si>
  <si>
    <t>1579901005136</t>
  </si>
  <si>
    <t>1579900984033</t>
  </si>
  <si>
    <t>1579900993393</t>
  </si>
  <si>
    <t>1579901008089</t>
  </si>
  <si>
    <t>1579900999740</t>
  </si>
  <si>
    <t>1579901001416</t>
  </si>
  <si>
    <t>1579966235756</t>
  </si>
  <si>
    <t>1579901000720</t>
  </si>
  <si>
    <t>1259500027361</t>
  </si>
  <si>
    <t>1579909964466</t>
  </si>
  <si>
    <t>1579900979528</t>
  </si>
  <si>
    <t>1579900982634</t>
  </si>
  <si>
    <t>1579900982804</t>
  </si>
  <si>
    <t>1579900983768</t>
  </si>
  <si>
    <t>1579900987172</t>
  </si>
  <si>
    <t>ปพ.5</t>
  </si>
  <si>
    <t xml:space="preserve">     ครูผู้สอน</t>
  </si>
  <si>
    <t xml:space="preserve">     ครูประจำชั้น</t>
  </si>
  <si>
    <t>สรุปผลการเรียน</t>
  </si>
  <si>
    <t>จำนวนนักเรียน</t>
  </si>
  <si>
    <t>จำนวนนักเรียนที่ได้รับระดับผลการเรียน</t>
  </si>
  <si>
    <t>ทั้งหมด</t>
  </si>
  <si>
    <t>ผลการประเมินคุณลักษณะอันพึงประสงค์</t>
  </si>
  <si>
    <t>ผลการประเมินการอ่านคิดวิเคราะห์และเขียน</t>
  </si>
  <si>
    <t xml:space="preserve">  ดีเยี่ยม</t>
  </si>
  <si>
    <t xml:space="preserve"> ดี</t>
  </si>
  <si>
    <t xml:space="preserve">  ผ่าน</t>
  </si>
  <si>
    <t>ลงชื่อ</t>
  </si>
  <si>
    <t>.....................................................................</t>
  </si>
  <si>
    <t>ครูผู้สอน</t>
  </si>
  <si>
    <t>หัวหน้ากลุ่มสาระ</t>
  </si>
  <si>
    <t>ฝ่ายวัดผลประเมินผล</t>
  </si>
  <si>
    <t>เรียนเสนอเพื่อพิจารณา</t>
  </si>
  <si>
    <t>แบบบันทึกผลการเรียนประจำรายวิชา</t>
  </si>
  <si>
    <t>ชื่อสถานศึกษา</t>
  </si>
  <si>
    <t>สังกัด</t>
  </si>
  <si>
    <t>ปีการศึกษา</t>
  </si>
  <si>
    <t>ระดับชั้น</t>
  </si>
  <si>
    <t>รหัสวิชา</t>
  </si>
  <si>
    <t>ครูประจำชั้น</t>
  </si>
  <si>
    <t>วันที่อนุมัติผลการเรียน</t>
  </si>
  <si>
    <t>ผู้อำนวยการโรงเรียน</t>
  </si>
  <si>
    <t>1. ผลการเรียน</t>
  </si>
  <si>
    <t>2. ผลการประเมินคุณลักษณะอันพึงประสงค์</t>
  </si>
  <si>
    <t>3. ผลการประเมินการอ่านคิดวิเคราะห์และเขียน</t>
  </si>
  <si>
    <t>เกรด</t>
  </si>
  <si>
    <t>จำนวน (คน)</t>
  </si>
  <si>
    <t>ร้อยละ</t>
  </si>
  <si>
    <t>ระดับ</t>
  </si>
  <si>
    <t xml:space="preserve">  ดีเยี่ยม (3)</t>
  </si>
  <si>
    <t xml:space="preserve"> ดี (2)</t>
  </si>
  <si>
    <t xml:space="preserve">  ผ่าน (1)</t>
  </si>
  <si>
    <t>ภาคเรียนที่ 1</t>
  </si>
  <si>
    <t>ภาคเรียนที่ 2</t>
  </si>
  <si>
    <t>ไม่อนุมัติ</t>
  </si>
  <si>
    <t>อนุมัติ</t>
  </si>
  <si>
    <t>รวมคะแนนเก็บ</t>
  </si>
  <si>
    <t>รวมคะแนนภาคเรียนที่ 1</t>
  </si>
  <si>
    <t>ช่องที่</t>
  </si>
  <si>
    <t xml:space="preserve">หน่วยที่ </t>
  </si>
  <si>
    <t>รวมคะแนน ภาคเรียนที่ 1 และภาคเรียนที่ 2</t>
  </si>
  <si>
    <t>ผลการเรียน</t>
  </si>
  <si>
    <t>น้ำหนัก</t>
  </si>
  <si>
    <t>ผ่านเกณฑ์  คิดเป็นร้อยละ</t>
  </si>
  <si>
    <t>ผลการเรียนเฉลี่ย คิดเป็นร้อยละ</t>
  </si>
  <si>
    <t xml:space="preserve">ผลการเรียนเฉลี่ย </t>
  </si>
  <si>
    <t>ไม่ผ่านเกณฑ์  คิดเป็นร้อยละ</t>
  </si>
  <si>
    <t>5.สรุปผลผลสัมฤทธิ์ทางการเรียน</t>
  </si>
  <si>
    <t>จำนวนนักเรียนทั้งหมด</t>
  </si>
  <si>
    <t>นักเรียนที่ออกระหว่างภาคเรียน</t>
  </si>
  <si>
    <t>คงนักเรียน</t>
  </si>
  <si>
    <t>คน</t>
  </si>
  <si>
    <t>เฉลี่ย</t>
  </si>
  <si>
    <t>รวมคะแนน ภาคเรียนที่ 2</t>
  </si>
  <si>
    <t>คำแนะนำการใช้งานแบบบันทึกคะแนน</t>
  </si>
  <si>
    <t>4. เวิร์กชีตExcel  หน้าปก และ ปพ.5 ใช้กระดาษขนาด Legel</t>
  </si>
  <si>
    <t>5. เวิร์กชีตExcel  สรุปคะแนน  ใช้กระดาษขนาด A4</t>
  </si>
  <si>
    <t>รวมคะแนน</t>
  </si>
  <si>
    <t>1. แบบบันทึก ปพ.5 นี้ได้ใส่สูตรคำนวนให้แล้ว  แต่หากไม่เหมาะกลับบ้างห้อง</t>
  </si>
  <si>
    <t xml:space="preserve">    เพราะมีจำนวนนักเรียนแตกต่างกัน   ต้องตรวจสอบและคำนวณให้ถูกต้อง</t>
  </si>
  <si>
    <t>3. การตั้งค่าหน้ากระดาษ ด้านบน1.5  ซ้าย2.0  ขวา1.5   ล่าง 1.0  ซ.ม.</t>
  </si>
  <si>
    <t>หน้านี้เป็นตารางช่วยคำนวน  หากสูตรและจำนวนนักเรียนไม่ถูกต้องให้แก้ไข</t>
  </si>
  <si>
    <t>คะแนนเฉลี่ย</t>
  </si>
  <si>
    <t>ให้ใส่จำนวนนักเรียนของห้องตนเองลงในช่องสีเหลืองให้ถูกต้อง</t>
  </si>
  <si>
    <t>สำนักงานเขตพื้นที่การศึกษาประถมศึกษา กรุงเทพมหานคร</t>
  </si>
  <si>
    <t>โรงเรียนมูลนิธิวัดปากบ่อ  เขตสวนหลวง  กรุงเทพมหานคร</t>
  </si>
  <si>
    <t>ข</t>
  </si>
  <si>
    <t>ประถมศึกษาปีที่ ๑/๑</t>
  </si>
  <si>
    <t>สัปดาห์</t>
  </si>
  <si>
    <t>วัน</t>
  </si>
  <si>
    <t>วันที่</t>
  </si>
  <si>
    <t>ชั่วโมง</t>
  </si>
  <si>
    <t>จ</t>
  </si>
  <si>
    <t>อ</t>
  </si>
  <si>
    <t>พ</t>
  </si>
  <si>
    <t>พฤ</t>
  </si>
  <si>
    <t>ศ</t>
  </si>
  <si>
    <t>สถานะนักเรียน</t>
  </si>
  <si>
    <t>เรียน</t>
  </si>
  <si>
    <t>ออก</t>
  </si>
  <si>
    <t>ย้าย</t>
  </si>
  <si>
    <t>สรุปเวลาเรียนภาคเรียนที่ ๑</t>
  </si>
  <si>
    <t>เวลาเรียนเต็ม</t>
  </si>
  <si>
    <t>ป่วย</t>
  </si>
  <si>
    <t>ลา</t>
  </si>
  <si>
    <t>ขาด</t>
  </si>
  <si>
    <t>ร้อยละที่มาเรียน</t>
  </si>
  <si>
    <t>สัปดาห์ที่ 1</t>
  </si>
  <si>
    <t>สัปดาห์ที่ 2</t>
  </si>
  <si>
    <t>สัปดาห์ที่ 3</t>
  </si>
  <si>
    <t>สัปดาห์ที่ 4</t>
  </si>
  <si>
    <t>สัปดาห์ที่ 5</t>
  </si>
  <si>
    <t>สัปดาห์ที่ 6</t>
  </si>
  <si>
    <t>สัปดาห์ที่ 7</t>
  </si>
  <si>
    <t>สัปดาห์ที่ 8</t>
  </si>
  <si>
    <t>สัปดาห์ที่ 9</t>
  </si>
  <si>
    <t>สัปดาห์ที่ 10</t>
  </si>
  <si>
    <t>สัปดาห์ที่ 11</t>
  </si>
  <si>
    <t>สัปดาห์ที่ 12</t>
  </si>
  <si>
    <t>สัปดาห์ที่ 13</t>
  </si>
  <si>
    <t>สัปดาห์ที่ 14</t>
  </si>
  <si>
    <t>สัปดาห์ที่ 15</t>
  </si>
  <si>
    <t>สัปดาห์ที่ 16</t>
  </si>
  <si>
    <t>สัปดาห์ที่ 17</t>
  </si>
  <si>
    <t>สัปดาห์ที่ 18</t>
  </si>
  <si>
    <t>สัปดาห์ที่ 19</t>
  </si>
  <si>
    <t>สัปดาห์ที่ 20</t>
  </si>
  <si>
    <t>คำแนะนำการใช้งานโปรแกรม</t>
  </si>
  <si>
    <t>สำหรับลงข้อมูลเบื้องต้นของโรงเรียน และครูที่เกี่ยวข้อง</t>
  </si>
  <si>
    <t>สี</t>
  </si>
  <si>
    <t>สำหรับลงข้อมูลเกี่ยวกับการเรียนการสอน และสามารถพิมพ์นำออกมาใช้งานได้</t>
  </si>
  <si>
    <t>คะแนนเต็ม</t>
  </si>
  <si>
    <t>ตัวชี้วัดการเรียนรู้</t>
  </si>
  <si>
    <t>การวัดประเมินผลการเรียนการสอน</t>
  </si>
  <si>
    <t>วันอนุมัติผลการเรียนรู้</t>
  </si>
  <si>
    <t>พฤษภาคม</t>
  </si>
  <si>
    <t>มกราคม</t>
  </si>
  <si>
    <t>ม.ค.-ก.พ.</t>
  </si>
  <si>
    <t>กุมภาพันธ์</t>
  </si>
  <si>
    <t>ก.พ.-มี.ค.</t>
  </si>
  <si>
    <t>มีนาคม</t>
  </si>
  <si>
    <t>มี.ค.-เม.ย.</t>
  </si>
  <si>
    <t>เมษายน</t>
  </si>
  <si>
    <t>พ.ค.-มิ.ย.</t>
  </si>
  <si>
    <t>มิถุนายน</t>
  </si>
  <si>
    <t>มิ.ย.-ก.ค.</t>
  </si>
  <si>
    <t>กรกฎาคม</t>
  </si>
  <si>
    <t>ก.ค.-ส.ค.</t>
  </si>
  <si>
    <t>สิงหาคม</t>
  </si>
  <si>
    <t>ส.ค.-ก.ย.</t>
  </si>
  <si>
    <t>กันยายน</t>
  </si>
  <si>
    <t>ก.ย.-ต.ค.</t>
  </si>
  <si>
    <t>ตุลาคม</t>
  </si>
  <si>
    <t>ต.ค.-พ.ย.</t>
  </si>
  <si>
    <t>พฤศจิกายน</t>
  </si>
  <si>
    <t>พ.ย.-ธ.ค.</t>
  </si>
  <si>
    <t>ธันวาคม</t>
  </si>
  <si>
    <t>สัปดาห์ที่ ๒๑</t>
  </si>
  <si>
    <t>สัปดาห์ที่ 2๒</t>
  </si>
  <si>
    <t>สัปดาห์ที่ ๒๔</t>
  </si>
  <si>
    <t>สัปดาห์ที่ ๒๕</t>
  </si>
  <si>
    <t>สัปดาห์ที่ ๒๖</t>
  </si>
  <si>
    <t>สัปดาห์ที่ ๒๗</t>
  </si>
  <si>
    <t>สัปดาห์ที่ ๒๘</t>
  </si>
  <si>
    <t>สัปดาห์ที่ ๒๙</t>
  </si>
  <si>
    <t>สัปดาห์ที่ ๓๐</t>
  </si>
  <si>
    <t>สัปดาห์ที่ ๒3</t>
  </si>
  <si>
    <t>สัปดาห์ที่ ๓๑</t>
  </si>
  <si>
    <t>สัปดาห์ที่ ๓๒</t>
  </si>
  <si>
    <t>สัปดาห์ที่ ๓๓</t>
  </si>
  <si>
    <t>สัปดาห์ที่ ๓๔</t>
  </si>
  <si>
    <t>สัปดาห์ที่ ๓๕</t>
  </si>
  <si>
    <t>สัปดาห์ที่ ๓๖</t>
  </si>
  <si>
    <t>สัปดาห์ที่ ๓๗</t>
  </si>
  <si>
    <t>สัปดาห์ที่ ๓๘</t>
  </si>
  <si>
    <t>สัปดาห์ที่ ๓๙</t>
  </si>
  <si>
    <t>สัปดาห์ที่ ๔๐</t>
  </si>
  <si>
    <t>ป</t>
  </si>
  <si>
    <t>ล</t>
  </si>
  <si>
    <t>มา</t>
  </si>
  <si>
    <t>ชั่วโมง/วัน</t>
  </si>
  <si>
    <t>แบบบันทึกผลการเรียนประจำรายวิชา   ปพ.๕</t>
  </si>
  <si>
    <t>กลุ่มสาระการเรียนรู้</t>
  </si>
  <si>
    <t>สาระการเรียนวิชา</t>
  </si>
  <si>
    <t>2. งานใน ปพ.5 ในคอมพิวเตอร์ต้องมีฟอนต์  TH SarabunPSK๙</t>
  </si>
  <si>
    <t>สำหรับลงข้อมูลสำคัญของโรงเรียน และสามารถพิมพ์นำออกมาใช้งานได้บ้างส่วน</t>
  </si>
  <si>
    <t>6. รหัส ******** ถ้าต้องการแก้ไขแผนงาน</t>
  </si>
  <si>
    <t>โรงเรียนมูลนิธิวัดปากบ่อ</t>
  </si>
  <si>
    <t>(DATA)</t>
  </si>
  <si>
    <t>(หน้าปก , สรุปคะแนน A๔ , สรุปผลการเรียน)</t>
  </si>
  <si>
    <t>(ปพ.๕ , เวลาเรียน ๑ , เวลาเรียน ๒ )</t>
  </si>
  <si>
    <t>ลงข้อมูลต่าง ๆ ที่ DATA</t>
  </si>
  <si>
    <t>สัปดาห์ที่ 21</t>
  </si>
  <si>
    <t>สัปดาห์ที่ 22</t>
  </si>
  <si>
    <t>สัปดาห์ที่ ๔๑</t>
  </si>
  <si>
    <t>สัปดาห์ที่ ๔๒</t>
  </si>
  <si>
    <t>สรุปเวลาเรียนภาคเรียนที่ ๒</t>
  </si>
  <si>
    <t>ปพ.๕ รายวิชา</t>
  </si>
  <si>
    <t>รวมวันเรียนทั้งหมด</t>
  </si>
  <si>
    <t>จำนวนคะแนนเก็บ และสอบ</t>
  </si>
  <si>
    <t>ชื่อ</t>
  </si>
  <si>
    <t>นามสกุล</t>
  </si>
  <si>
    <t>/</t>
  </si>
  <si>
    <t>สกุล</t>
  </si>
  <si>
    <t>วิทยาศาสตร์และเทคโนโลยี</t>
  </si>
  <si>
    <t>ปีการศึกษา 2561</t>
  </si>
  <si>
    <t>ปีการศึกษา 2562</t>
  </si>
  <si>
    <t>ปีการศึกษา 2563</t>
  </si>
  <si>
    <t>ปีการศึกษา 2564</t>
  </si>
  <si>
    <t>ปีการศึกษา 2565</t>
  </si>
  <si>
    <t>ปีการศึกษา 2566</t>
  </si>
  <si>
    <t>ปีการศึกษา 2567</t>
  </si>
  <si>
    <t>ปีการศึกษา 2568</t>
  </si>
  <si>
    <t>ปีการศึกษา 2569</t>
  </si>
  <si>
    <t>ปีการศึกษา 2570</t>
  </si>
  <si>
    <t>ปีการศึกษา 2571</t>
  </si>
  <si>
    <t>ปีการศึกษา 2572</t>
  </si>
  <si>
    <t>ปีการศึกษา 2573</t>
  </si>
  <si>
    <t>ปีการศึกษา 2574</t>
  </si>
  <si>
    <t>ปีการศึกษา 2575</t>
  </si>
  <si>
    <t>ปีการศึกษา 2576</t>
  </si>
  <si>
    <t>ปีการศึกษา 2577</t>
  </si>
  <si>
    <t>ปีการศึกษา 2578</t>
  </si>
  <si>
    <t>ปีการศึกษา 2579</t>
  </si>
  <si>
    <t>ปีการศึกษา 2580</t>
  </si>
  <si>
    <t>ปีการศึกษา 2581</t>
  </si>
  <si>
    <t>ปีการศึกษา 2582</t>
  </si>
  <si>
    <t>ประถมศึกษาปีที่ ๑/๒</t>
  </si>
  <si>
    <t>ประถมศึกษาปีที่ ๑/๓</t>
  </si>
  <si>
    <t>ประถมศึกษาปีที่ ๑/๔</t>
  </si>
  <si>
    <t>ประถมศึกษาปีที่ ๒/๑</t>
  </si>
  <si>
    <t>ประถมศึกษาปีที่ ๒/๒</t>
  </si>
  <si>
    <t>ประถมศึกษาปีที่ ๒/๓</t>
  </si>
  <si>
    <t>ประถมศึกษาปีที่ ๒/๔</t>
  </si>
  <si>
    <t>ประถมศึกษาปีที่ ๓/๑</t>
  </si>
  <si>
    <t>ประถมศึกษาปีที่ ๓/๒</t>
  </si>
  <si>
    <t>ประถมศึกษาปีที่ ๓/๓</t>
  </si>
  <si>
    <t>ประถมศึกษาปีที่ ๓/๔</t>
  </si>
  <si>
    <t>ประถมศึกษาปีที่ ๔/๑</t>
  </si>
  <si>
    <t>ประถมศึกษาปีที่ ๔/๒</t>
  </si>
  <si>
    <t>ประถมศึกษาปีที่ ๔/๓</t>
  </si>
  <si>
    <t>ประถมศึกษาปีที่ ๔/๔</t>
  </si>
  <si>
    <t>ประถมศึกษาปีที่ ๕/๑</t>
  </si>
  <si>
    <t>ประถมศึกษาปีที่ ๕/๒</t>
  </si>
  <si>
    <t>ประถมศึกษาปีที่ ๕/๓</t>
  </si>
  <si>
    <t>ประถมศึกษาปีที่ ๕/๔</t>
  </si>
  <si>
    <t>ประถมศึกษาปีที่ ๖/๑</t>
  </si>
  <si>
    <t>ประถมศึกษาปีที่ ๖/๒</t>
  </si>
  <si>
    <t>ประถมศึกษาปีที่ ๖/๓</t>
  </si>
  <si>
    <t>ประถมศึกษาปีที่ ๖/๔</t>
  </si>
  <si>
    <t>ภาษาไทย</t>
  </si>
  <si>
    <t>คณิตศาสตร์</t>
  </si>
  <si>
    <t>คอมพิวเตอร์</t>
  </si>
  <si>
    <t>สังคมศึกษา ศาสนาและวัฒนธรรม</t>
  </si>
  <si>
    <t>ประวัติศาสตร์</t>
  </si>
  <si>
    <t>หน้าที่พลเมือง</t>
  </si>
  <si>
    <t>สุขศึกษาและพลศึกษา</t>
  </si>
  <si>
    <t>ศิลปะ</t>
  </si>
  <si>
    <t>นาฏศิลป์</t>
  </si>
  <si>
    <t>ทัศนศิลป์</t>
  </si>
  <si>
    <t>ดนตรี</t>
  </si>
  <si>
    <t>การงานอาชีพ</t>
  </si>
  <si>
    <t>ภาษาต่างประเทศ</t>
  </si>
  <si>
    <t>ภาษาอังกฤษ</t>
  </si>
  <si>
    <t>ภาษาจีน</t>
  </si>
  <si>
    <t>หัวหน้างานบริหารวิชาการ</t>
  </si>
  <si>
    <t>(นายเทวา  สาระสี)</t>
  </si>
  <si>
    <t>(นายประเสริฐ  นาคพิมพ์)</t>
  </si>
  <si>
    <t>สอบกลางภาค</t>
  </si>
  <si>
    <t>รหัสวิชา ท11101</t>
  </si>
  <si>
    <t>รหัสวิชา ท15101</t>
  </si>
  <si>
    <t>รหัสวิชา ท14101</t>
  </si>
  <si>
    <t>รหัสวิชา ท13101</t>
  </si>
  <si>
    <t>รหัสวิชา ท12101</t>
  </si>
  <si>
    <t>รหัสวิชา ท16101</t>
  </si>
  <si>
    <t>รหัสวิชา ค11101</t>
  </si>
  <si>
    <t>รหัสวิชา ค12102</t>
  </si>
  <si>
    <t>รหัสวิชา ค13101</t>
  </si>
  <si>
    <t>รหัสวิชา ค14101</t>
  </si>
  <si>
    <t>รหัสวิชา ค15101</t>
  </si>
  <si>
    <t>รหัสวิชา ค16101</t>
  </si>
  <si>
    <t>รหัสวิชา ว11101</t>
  </si>
  <si>
    <t>รหัสวิชา ว12101</t>
  </si>
  <si>
    <t>รหัสวิชา ว13101</t>
  </si>
  <si>
    <t>รหัสวิชา ว14101</t>
  </si>
  <si>
    <t>รหัสวิชา ว15101</t>
  </si>
  <si>
    <t>รหัสวิชา ว16101</t>
  </si>
  <si>
    <t>รหัสวิชา ส11101</t>
  </si>
  <si>
    <t>รหัสวิชา ส12101</t>
  </si>
  <si>
    <t>รหัสวิชา ส13101</t>
  </si>
  <si>
    <t>รหัสวิชา ส14101</t>
  </si>
  <si>
    <t>รหัสวิชา ส15101</t>
  </si>
  <si>
    <t>รหัสวิชา ส16101</t>
  </si>
  <si>
    <t>รหัสวิชา ส11102</t>
  </si>
  <si>
    <t>รหัสวิชา ส12102</t>
  </si>
  <si>
    <t>รหัสวิชา ส13102</t>
  </si>
  <si>
    <t>รหัสวิชา ส14102</t>
  </si>
  <si>
    <t>รหัสวิชา ส15102</t>
  </si>
  <si>
    <t>รหัสวิชา ส16102</t>
  </si>
  <si>
    <t>รหัสวิชา พ11101</t>
  </si>
  <si>
    <t>รหัสวิชา พ12101</t>
  </si>
  <si>
    <t>รหัสวิชา พ13101</t>
  </si>
  <si>
    <t>รหัสวิชา พ14101</t>
  </si>
  <si>
    <t>รหัสวิชา พ15101</t>
  </si>
  <si>
    <t>รหัสวิชา พ16101</t>
  </si>
  <si>
    <t>รหัสวิชา ศ11101</t>
  </si>
  <si>
    <t>รหัสวิชา ศ12101</t>
  </si>
  <si>
    <t>รหัสวิชา ศ13101</t>
  </si>
  <si>
    <t>รหัสวิชา ศ14101</t>
  </si>
  <si>
    <t>รหัสวิชา ศ15101</t>
  </si>
  <si>
    <t>รหัสวิชา ศ16101</t>
  </si>
  <si>
    <t>รหัสวิชา ง11101</t>
  </si>
  <si>
    <t>รหัสวิชา ง12101</t>
  </si>
  <si>
    <t>รหัสวิชา ง13101</t>
  </si>
  <si>
    <t>รหัสวิชา ง14101</t>
  </si>
  <si>
    <t>รหัสวิชา ง15101</t>
  </si>
  <si>
    <t>รหัสวิชา ง16101</t>
  </si>
  <si>
    <t>รหัสวิชา อ11101</t>
  </si>
  <si>
    <t>รหัสวิชา อ12101</t>
  </si>
  <si>
    <t>รหัสวิชา อ13101</t>
  </si>
  <si>
    <t>รหัสวิชา อ14101</t>
  </si>
  <si>
    <t>รหัสวิชา อ15101</t>
  </si>
  <si>
    <t>รหัสวิชา อ16101</t>
  </si>
  <si>
    <t>29  มีนาคม  ๒๕๖4</t>
  </si>
  <si>
    <t>-</t>
  </si>
  <si>
    <t>เด็กชาย คมกฤษ  วิยะรส</t>
  </si>
  <si>
    <t>เด็กชาย จักรวาล  ชะรารัตน์</t>
  </si>
  <si>
    <t>เด็กชาย ธนกฤต  เที่ยงตรงดี</t>
  </si>
  <si>
    <t>เด็กชาย พชร  บุญสนอง</t>
  </si>
  <si>
    <t>เด็กชาย รัชชากร  ผลนา</t>
  </si>
  <si>
    <t>เด็กชาย อาทิตย์  ก้านมะยุระ</t>
  </si>
  <si>
    <t>เด็กหญิง จิรัชญา  เมฆหมอก</t>
  </si>
  <si>
    <t>เด็กหญิง สิรินทรา  สถิตถาวรกุล</t>
  </si>
  <si>
    <t>เด็กชาย ก้องเกียรติ  เจริญพร</t>
  </si>
  <si>
    <t>เด็กชาย ศิริชัย  ไวยัง</t>
  </si>
  <si>
    <t>เด็กชาย ธนกฤต  ถนอมต่วน</t>
  </si>
  <si>
    <t>เด็กหญิง เพ็ญพิชชา  สิงสูงเนิน</t>
  </si>
  <si>
    <t>เด็กชาย พีรภัทร  พุทไธสง</t>
  </si>
  <si>
    <t>เด็กชาย อติเทพ  ยาผ่า</t>
  </si>
  <si>
    <t>เด็กหญิง มีนา  ศรีโอภาส</t>
  </si>
  <si>
    <t>เด็กหญิง สุธิดา  มวยเก่ง</t>
  </si>
  <si>
    <t>เด็กหญิง อภิญญา  ศรีมารินทร์</t>
  </si>
  <si>
    <t>เด็กหญิง เบญจา  คงเฉลียว</t>
  </si>
  <si>
    <t>เด็กชาย สมรรถ  ใจใส</t>
  </si>
  <si>
    <t>เด็กชาย ธีรศิลป์  องค์ศิริศิลป์</t>
  </si>
  <si>
    <t>เด็กหญิง สิริรักษ์  คำแสน</t>
  </si>
  <si>
    <t>เด็กชาย รัชกฤต  ฐิรวุฒิกร</t>
  </si>
  <si>
    <t>เด็กหญิง ธนาภา  มิ่งเมือง</t>
  </si>
  <si>
    <t>เด็กหญิง เณฐฬฏาก์  จรูญศิริโรจน์</t>
  </si>
  <si>
    <t>เด็กหญิง ศิริภัสสร  สิทธิประกรณ์</t>
  </si>
  <si>
    <t>เด็กชาย จักรพล  ไพรพล</t>
  </si>
  <si>
    <t>เด็กชาย นภัทร  พยัคกานน</t>
  </si>
  <si>
    <t>เด็กชาย รัชชานนท์  ทรัพย์สนอง</t>
  </si>
  <si>
    <t>เด็กหญิง หทัยกาญจม์  อิ่นแก้ว</t>
  </si>
  <si>
    <t>เด็กชาย วีระยุทธ์  เนื้อทอง</t>
  </si>
  <si>
    <t>เด็กหญิง ชัชชญา  แสงจุ้ยวงษ์</t>
  </si>
  <si>
    <t>เด็กชาย ยศกร  แก้ววิจิตร</t>
  </si>
  <si>
    <t>1103101145462</t>
  </si>
  <si>
    <t>1103200235648</t>
  </si>
  <si>
    <t>1103200242431</t>
  </si>
  <si>
    <t>1100704228022</t>
  </si>
  <si>
    <t>1100704246624</t>
  </si>
  <si>
    <t>1103200213059</t>
  </si>
  <si>
    <t>1103200214284</t>
  </si>
  <si>
    <t>1103704638509</t>
  </si>
  <si>
    <t>1100704257961</t>
  </si>
  <si>
    <t>1469900901058</t>
  </si>
  <si>
    <t>1100704206819</t>
  </si>
  <si>
    <t>1110301526181</t>
  </si>
  <si>
    <t>1103704603331</t>
  </si>
  <si>
    <t>1103704621908</t>
  </si>
  <si>
    <t>2103300024825</t>
  </si>
  <si>
    <t>1100704216041</t>
  </si>
  <si>
    <t>1119902601186</t>
  </si>
  <si>
    <t>1469500046827</t>
  </si>
  <si>
    <t>1100704207939</t>
  </si>
  <si>
    <t>1100704257120</t>
  </si>
  <si>
    <t>1100704250966</t>
  </si>
  <si>
    <t>1339600238206</t>
  </si>
  <si>
    <t>1100704219759</t>
  </si>
  <si>
    <t>1103200227696</t>
  </si>
  <si>
    <t>1103200229737</t>
  </si>
  <si>
    <t>1319500084452</t>
  </si>
  <si>
    <t>1100704277651</t>
  </si>
  <si>
    <t>1103200236351</t>
  </si>
  <si>
    <t>1559900599172</t>
  </si>
  <si>
    <t>1379900471933</t>
  </si>
  <si>
    <t>1103200242016</t>
  </si>
  <si>
    <t>1309903821005</t>
  </si>
  <si>
    <t>6665</t>
  </si>
  <si>
    <t>6666</t>
  </si>
  <si>
    <t>6668</t>
  </si>
  <si>
    <t>6669</t>
  </si>
  <si>
    <t>6670</t>
  </si>
  <si>
    <t>6678</t>
  </si>
  <si>
    <t>6684</t>
  </si>
  <si>
    <t>6691</t>
  </si>
  <si>
    <t>6692</t>
  </si>
  <si>
    <t>6703</t>
  </si>
  <si>
    <t>6704</t>
  </si>
  <si>
    <t>6715</t>
  </si>
  <si>
    <t>6727</t>
  </si>
  <si>
    <t>6729</t>
  </si>
  <si>
    <t>6737</t>
  </si>
  <si>
    <t>6744</t>
  </si>
  <si>
    <t>6748</t>
  </si>
  <si>
    <t>6749</t>
  </si>
  <si>
    <t>6755</t>
  </si>
  <si>
    <t>6758</t>
  </si>
  <si>
    <t>6777</t>
  </si>
  <si>
    <t>6788</t>
  </si>
  <si>
    <t>6798</t>
  </si>
  <si>
    <t>6803</t>
  </si>
  <si>
    <t>6863</t>
  </si>
  <si>
    <t>6867</t>
  </si>
  <si>
    <t>7011</t>
  </si>
  <si>
    <t>7080</t>
  </si>
  <si>
    <t>7083</t>
  </si>
  <si>
    <t>7226</t>
  </si>
  <si>
    <t>7643</t>
  </si>
  <si>
    <t>7770</t>
  </si>
  <si>
    <t>นายกีรติ ขำกฤษ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</si>
</sst>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87" formatCode="0\-0000\-00000\-00\-0"/>
    <numFmt numFmtId="188" formatCode="0.0"/>
    <numFmt numFmtId="189" formatCode="[$-D000000]0\ 0000\ 00000\ 00\ 0"/>
    <numFmt numFmtId="190" formatCode="[$-D01041E]d\ mmm\ yy;@"/>
  </numFmts>
  <fonts count="77" x14ac:knownFonts="1">
    <font>
      <sz val="11"/>
      <color theme="1"/>
      <name val="Tahoma"/>
      <family val="2"/>
      <charset val="222"/>
      <scheme val="minor"/>
    </font>
    <font>
      <sz val="14"/>
      <name val="TH SarabunPSK"/>
      <family val="2"/>
    </font>
    <font>
      <b/>
      <sz val="10"/>
      <name val="Arial"/>
      <family val="2"/>
    </font>
    <font>
      <sz val="10"/>
      <name val="Arial"/>
      <family val="2"/>
    </font>
    <font>
      <sz val="16"/>
      <name val="AngsanaUPC"/>
      <family val="1"/>
      <charset val="222"/>
    </font>
    <font>
      <sz val="16"/>
      <color indexed="12"/>
      <name val="AngsanaUPC"/>
      <family val="1"/>
      <charset val="222"/>
    </font>
    <font>
      <b/>
      <u/>
      <sz val="24"/>
      <color indexed="12"/>
      <name val="AngsanaUPC"/>
      <family val="1"/>
    </font>
    <font>
      <b/>
      <sz val="16"/>
      <color indexed="12"/>
      <name val="AngsanaUPC"/>
      <family val="1"/>
    </font>
    <font>
      <b/>
      <sz val="16"/>
      <name val="AngsanaUPC"/>
      <family val="1"/>
    </font>
    <font>
      <b/>
      <sz val="16"/>
      <color indexed="12"/>
      <name val="AngsanaUPC"/>
      <family val="1"/>
      <charset val="222"/>
    </font>
    <font>
      <sz val="16"/>
      <color indexed="12"/>
      <name val="AngsanaUPC"/>
      <family val="1"/>
    </font>
    <font>
      <sz val="16"/>
      <name val="TH SarabunPSK"/>
      <family val="2"/>
    </font>
    <font>
      <b/>
      <sz val="16"/>
      <name val="TH SarabunPSK"/>
      <family val="2"/>
    </font>
    <font>
      <b/>
      <sz val="22"/>
      <name val="TH SarabunPSK"/>
      <family val="2"/>
    </font>
    <font>
      <b/>
      <sz val="20"/>
      <name val="TH SarabunPSK"/>
      <family val="2"/>
    </font>
    <font>
      <b/>
      <sz val="10"/>
      <name val="TH SarabunPSK"/>
      <family val="2"/>
    </font>
    <font>
      <sz val="18"/>
      <name val="TH SarabunPSK"/>
      <family val="2"/>
    </font>
    <font>
      <sz val="20"/>
      <name val="TH SarabunPSK"/>
      <family val="2"/>
    </font>
    <font>
      <sz val="11"/>
      <color theme="1"/>
      <name val="Tahoma"/>
      <family val="2"/>
      <charset val="222"/>
      <scheme val="minor"/>
    </font>
    <font>
      <b/>
      <sz val="16"/>
      <color theme="0"/>
      <name val="AngsanaUPC"/>
      <family val="1"/>
    </font>
    <font>
      <b/>
      <sz val="16"/>
      <color rgb="FF0070C0"/>
      <name val="AngsanaUPC"/>
      <family val="1"/>
    </font>
    <font>
      <sz val="16"/>
      <color rgb="FF0070C0"/>
      <name val="AngsanaUPC"/>
      <family val="1"/>
    </font>
    <font>
      <sz val="11"/>
      <color theme="1"/>
      <name val="TH SarabunPSK"/>
      <family val="2"/>
    </font>
    <font>
      <sz val="11"/>
      <color theme="0"/>
      <name val="Tahoma"/>
      <family val="2"/>
      <charset val="222"/>
      <scheme val="minor"/>
    </font>
    <font>
      <sz val="16"/>
      <name val="Angsana New"/>
      <family val="1"/>
    </font>
    <font>
      <sz val="11"/>
      <color theme="1"/>
      <name val="Angsana New"/>
      <family val="1"/>
    </font>
    <font>
      <sz val="16"/>
      <color theme="1"/>
      <name val="Angsana New"/>
      <family val="1"/>
    </font>
    <font>
      <b/>
      <sz val="18"/>
      <color indexed="12"/>
      <name val="Angsana New"/>
      <family val="1"/>
    </font>
    <font>
      <sz val="10"/>
      <color theme="0"/>
      <name val="Arial"/>
      <family val="2"/>
    </font>
    <font>
      <b/>
      <sz val="16"/>
      <color rgb="FF0329E7"/>
      <name val="Angsana New"/>
      <family val="1"/>
    </font>
    <font>
      <sz val="16"/>
      <color theme="1"/>
      <name val="AngsanaUPC"/>
      <family val="1"/>
      <charset val="222"/>
    </font>
    <font>
      <b/>
      <sz val="9"/>
      <color indexed="81"/>
      <name val="Tahoma"/>
      <family val="2"/>
    </font>
    <font>
      <u/>
      <sz val="11"/>
      <color theme="10"/>
      <name val="Tahoma"/>
      <family val="2"/>
      <charset val="222"/>
      <scheme val="minor"/>
    </font>
    <font>
      <b/>
      <sz val="22"/>
      <color rgb="FFFF0000"/>
      <name val="Angsana New"/>
      <family val="1"/>
    </font>
    <font>
      <sz val="9"/>
      <name val="TH SarabunPSK"/>
      <family val="2"/>
    </font>
    <font>
      <sz val="8"/>
      <name val="TH SarabunPSK"/>
      <family val="2"/>
    </font>
    <font>
      <b/>
      <sz val="20"/>
      <name val="TH SarabunIT๙"/>
      <family val="2"/>
    </font>
    <font>
      <b/>
      <sz val="14"/>
      <name val="TH SarabunIT๙"/>
      <family val="2"/>
    </font>
    <font>
      <b/>
      <sz val="14"/>
      <color rgb="FF000080"/>
      <name val="TH SarabunIT๙"/>
      <family val="2"/>
    </font>
    <font>
      <b/>
      <sz val="16"/>
      <name val="TH SarabunIT๙"/>
      <family val="2"/>
    </font>
    <font>
      <sz val="14"/>
      <name val="TH SarabunIT๙"/>
      <family val="2"/>
    </font>
    <font>
      <sz val="14"/>
      <color rgb="FF0000FF"/>
      <name val="TH SarabunIT๙"/>
      <family val="2"/>
    </font>
    <font>
      <sz val="16"/>
      <color theme="1"/>
      <name val="TH SarabunIT๙"/>
      <family val="2"/>
    </font>
    <font>
      <b/>
      <sz val="14"/>
      <color rgb="FF002060"/>
      <name val="TH SarabunIT๙"/>
      <family val="2"/>
    </font>
    <font>
      <sz val="14"/>
      <color rgb="FF002060"/>
      <name val="TH SarabunIT๙"/>
      <family val="2"/>
    </font>
    <font>
      <sz val="14"/>
      <color theme="1"/>
      <name val="TH SarabunIT๙"/>
      <family val="2"/>
    </font>
    <font>
      <sz val="14"/>
      <color rgb="FF000080"/>
      <name val="TH SarabunIT๙"/>
      <family val="2"/>
    </font>
    <font>
      <b/>
      <sz val="14"/>
      <color rgb="FF0000FF"/>
      <name val="TH SarabunIT๙"/>
      <family val="2"/>
    </font>
    <font>
      <b/>
      <sz val="18"/>
      <name val="TH SarabunIT๙"/>
      <family val="2"/>
    </font>
    <font>
      <sz val="11"/>
      <color theme="1"/>
      <name val="TH SarabunIT๙"/>
      <family val="2"/>
    </font>
    <font>
      <b/>
      <sz val="16"/>
      <color theme="1"/>
      <name val="TH SarabunIT๙"/>
      <family val="2"/>
    </font>
    <font>
      <b/>
      <sz val="14"/>
      <color theme="1"/>
      <name val="TH SarabunIT๙"/>
      <family val="2"/>
    </font>
    <font>
      <sz val="16"/>
      <name val="TH SarabunIT๙"/>
      <family val="2"/>
    </font>
    <font>
      <sz val="16"/>
      <color rgb="FF000000"/>
      <name val="TH SarabunIT๙"/>
      <family val="2"/>
    </font>
    <font>
      <sz val="14"/>
      <color rgb="FFFF0000"/>
      <name val="TH SarabunIT๙"/>
      <family val="2"/>
    </font>
    <font>
      <b/>
      <sz val="18"/>
      <name val="TH SarabunPSK"/>
      <family val="2"/>
    </font>
    <font>
      <b/>
      <sz val="14"/>
      <name val="TH SarabunPSK"/>
      <family val="2"/>
    </font>
    <font>
      <sz val="20"/>
      <name val="TH SarabunIT๙"/>
      <family val="2"/>
    </font>
    <font>
      <sz val="24"/>
      <color theme="1"/>
      <name val="TH SarabunIT๙"/>
      <family val="2"/>
    </font>
    <font>
      <b/>
      <sz val="24"/>
      <color theme="1"/>
      <name val="TH SarabunIT๙"/>
      <family val="2"/>
    </font>
    <font>
      <sz val="24"/>
      <name val="TH SarabunIT๙"/>
      <family val="2"/>
    </font>
    <font>
      <b/>
      <sz val="18"/>
      <color rgb="FF000080"/>
      <name val="TH SarabunIT๙"/>
      <family val="2"/>
    </font>
    <font>
      <sz val="18"/>
      <name val="TH SarabunIT๙"/>
      <family val="2"/>
    </font>
    <font>
      <b/>
      <sz val="12"/>
      <name val="TH SarabunIT๙"/>
      <family val="2"/>
    </font>
    <font>
      <b/>
      <sz val="8"/>
      <color indexed="81"/>
      <name val="Tahoma"/>
      <family val="2"/>
    </font>
    <font>
      <b/>
      <sz val="16"/>
      <color rgb="FFFF0000"/>
      <name val="TH SarabunIT๙"/>
      <family val="2"/>
    </font>
    <font>
      <sz val="16"/>
      <color rgb="FFFF0000"/>
      <name val="TH SarabunIT๙"/>
      <family val="2"/>
    </font>
    <font>
      <u/>
      <sz val="16"/>
      <color theme="10"/>
      <name val="TH SarabunIT๙"/>
      <family val="2"/>
    </font>
    <font>
      <b/>
      <sz val="16"/>
      <color indexed="12"/>
      <name val="TH SarabunIT๙"/>
      <family val="2"/>
    </font>
    <font>
      <sz val="9"/>
      <color indexed="81"/>
      <name val="Tahoma"/>
      <family val="2"/>
    </font>
    <font>
      <sz val="18"/>
      <color theme="1"/>
      <name val="TH SarabunIT๙"/>
      <family val="2"/>
    </font>
    <font>
      <b/>
      <i/>
      <sz val="60"/>
      <color theme="3"/>
      <name val="TH SarabunIT๙"/>
      <family val="2"/>
    </font>
    <font>
      <b/>
      <sz val="20"/>
      <color rgb="FFFF0000"/>
      <name val="TH SarabunIT๙"/>
      <family val="2"/>
    </font>
    <font>
      <b/>
      <sz val="16"/>
      <color rgb="FF002060"/>
      <name val="TH SarabunIT๙"/>
      <family val="2"/>
    </font>
    <font>
      <b/>
      <i/>
      <sz val="36"/>
      <color rgb="FFC00000"/>
      <name val="TH SarabunIT๙"/>
      <family val="2"/>
    </font>
    <font>
      <b/>
      <i/>
      <sz val="48"/>
      <color rgb="FFC00000"/>
      <name val="TH SarabunIT๙"/>
      <family val="2"/>
    </font>
    <font>
      <b/>
      <sz val="26"/>
      <color rgb="FFFF0000"/>
      <name val="TH SarabunIT๙"/>
      <family val="2"/>
    </font>
  </fonts>
  <fills count="3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7E39"/>
        <bgColor indexed="64"/>
      </patternFill>
    </fill>
    <fill>
      <patternFill patternType="solid">
        <fgColor rgb="FFB6DF8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rgb="FF000000"/>
      </patternFill>
    </fill>
    <fill>
      <patternFill patternType="solid">
        <fgColor theme="9" tint="0.39997558519241921"/>
        <bgColor rgb="FF000000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485"/>
        <bgColor indexed="64"/>
      </patternFill>
    </fill>
  </fills>
  <borders count="12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/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/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/>
      <diagonal/>
    </border>
    <border>
      <left style="thin">
        <color theme="0" tint="-0.499984740745262"/>
      </left>
      <right/>
      <top style="medium">
        <color indexed="64"/>
      </top>
      <bottom/>
      <diagonal/>
    </border>
    <border>
      <left style="thin">
        <color theme="0" tint="-0.499984740745262"/>
      </left>
      <right/>
      <top style="medium">
        <color indexed="64"/>
      </top>
      <bottom style="thin">
        <color theme="0" tint="-0.499984740745262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thin">
        <color theme="0" tint="-0.499984740745262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/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thin">
        <color indexed="64"/>
      </bottom>
      <diagonal/>
    </border>
    <border>
      <left/>
      <right/>
      <top style="thin">
        <color theme="0" tint="-0.499984740745262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theme="0" tint="-0.499984740745262"/>
      </right>
      <top style="medium">
        <color indexed="64"/>
      </top>
      <bottom/>
      <diagonal/>
    </border>
    <border>
      <left/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9" fontId="18" fillId="0" borderId="0" applyFont="0" applyFill="0" applyBorder="0" applyAlignment="0" applyProtection="0"/>
    <xf numFmtId="0" fontId="32" fillId="0" borderId="0" applyNumberFormat="0" applyFill="0" applyBorder="0" applyAlignment="0" applyProtection="0"/>
  </cellStyleXfs>
  <cellXfs count="657">
    <xf numFmtId="0" fontId="0" fillId="0" borderId="0" xfId="0"/>
    <xf numFmtId="0" fontId="4" fillId="2" borderId="0" xfId="0" applyFont="1" applyFill="1" applyBorder="1" applyAlignment="1">
      <alignment horizontal="center" vertical="center"/>
    </xf>
    <xf numFmtId="0" fontId="0" fillId="2" borderId="0" xfId="0" applyFill="1" applyBorder="1"/>
    <xf numFmtId="0" fontId="5" fillId="2" borderId="0" xfId="0" applyFont="1" applyFill="1" applyBorder="1" applyAlignment="1">
      <alignment vertical="center"/>
    </xf>
    <xf numFmtId="0" fontId="19" fillId="7" borderId="2" xfId="0" applyFont="1" applyFill="1" applyBorder="1" applyAlignment="1">
      <alignment horizontal="center" vertical="center"/>
    </xf>
    <xf numFmtId="0" fontId="19" fillId="7" borderId="3" xfId="0" applyFont="1" applyFill="1" applyBorder="1" applyAlignment="1">
      <alignment horizontal="center" vertical="center"/>
    </xf>
    <xf numFmtId="0" fontId="19" fillId="7" borderId="4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2" fontId="5" fillId="2" borderId="7" xfId="0" applyNumberFormat="1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/>
    </xf>
    <xf numFmtId="0" fontId="20" fillId="9" borderId="8" xfId="0" applyFont="1" applyFill="1" applyBorder="1" applyAlignment="1">
      <alignment horizontal="center"/>
    </xf>
    <xf numFmtId="2" fontId="21" fillId="2" borderId="10" xfId="0" applyNumberFormat="1" applyFont="1" applyFill="1" applyBorder="1" applyAlignment="1">
      <alignment horizontal="center"/>
    </xf>
    <xf numFmtId="0" fontId="5" fillId="4" borderId="8" xfId="0" applyFont="1" applyFill="1" applyBorder="1" applyAlignment="1">
      <alignment horizontal="center" vertical="center"/>
    </xf>
    <xf numFmtId="2" fontId="5" fillId="2" borderId="10" xfId="0" applyNumberFormat="1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vertical="center"/>
    </xf>
    <xf numFmtId="2" fontId="9" fillId="2" borderId="4" xfId="0" applyNumberFormat="1" applyFont="1" applyFill="1" applyBorder="1" applyAlignment="1">
      <alignment horizontal="center" vertical="center"/>
    </xf>
    <xf numFmtId="0" fontId="2" fillId="2" borderId="0" xfId="0" applyFont="1" applyFill="1" applyBorder="1"/>
    <xf numFmtId="0" fontId="10" fillId="3" borderId="2" xfId="0" applyFont="1" applyFill="1" applyBorder="1" applyAlignment="1">
      <alignment horizontal="center"/>
    </xf>
    <xf numFmtId="2" fontId="5" fillId="2" borderId="13" xfId="0" applyNumberFormat="1" applyFont="1" applyFill="1" applyBorder="1" applyAlignment="1">
      <alignment horizontal="center" vertical="center"/>
    </xf>
    <xf numFmtId="0" fontId="8" fillId="8" borderId="38" xfId="0" applyFont="1" applyFill="1" applyBorder="1" applyAlignment="1">
      <alignment horizontal="center" vertical="center"/>
    </xf>
    <xf numFmtId="0" fontId="8" fillId="8" borderId="39" xfId="0" applyFont="1" applyFill="1" applyBorder="1" applyAlignment="1">
      <alignment horizontal="center" vertical="center"/>
    </xf>
    <xf numFmtId="0" fontId="8" fillId="8" borderId="40" xfId="0" applyFont="1" applyFill="1" applyBorder="1" applyAlignment="1">
      <alignment horizontal="center" vertical="center"/>
    </xf>
    <xf numFmtId="0" fontId="9" fillId="2" borderId="20" xfId="0" applyFont="1" applyFill="1" applyBorder="1" applyAlignment="1">
      <alignment vertical="center"/>
    </xf>
    <xf numFmtId="2" fontId="9" fillId="2" borderId="21" xfId="0" applyNumberFormat="1" applyFont="1" applyFill="1" applyBorder="1" applyAlignment="1">
      <alignment horizontal="center" vertical="center"/>
    </xf>
    <xf numFmtId="0" fontId="0" fillId="0" borderId="0" xfId="0" applyFill="1" applyBorder="1"/>
    <xf numFmtId="0" fontId="0" fillId="0" borderId="0" xfId="0" applyFill="1"/>
    <xf numFmtId="0" fontId="25" fillId="2" borderId="0" xfId="0" applyFont="1" applyFill="1" applyBorder="1"/>
    <xf numFmtId="2" fontId="21" fillId="2" borderId="9" xfId="0" applyNumberFormat="1" applyFont="1" applyFill="1" applyBorder="1" applyAlignment="1">
      <alignment horizontal="center"/>
    </xf>
    <xf numFmtId="0" fontId="19" fillId="6" borderId="5" xfId="0" applyFont="1" applyFill="1" applyBorder="1" applyAlignment="1">
      <alignment horizontal="center" vertical="center"/>
    </xf>
    <xf numFmtId="0" fontId="19" fillId="6" borderId="6" xfId="0" applyFont="1" applyFill="1" applyBorder="1" applyAlignment="1">
      <alignment horizontal="center" vertical="center"/>
    </xf>
    <xf numFmtId="0" fontId="19" fillId="6" borderId="7" xfId="0" applyFont="1" applyFill="1" applyBorder="1" applyAlignment="1">
      <alignment horizontal="center" vertical="center"/>
    </xf>
    <xf numFmtId="0" fontId="26" fillId="0" borderId="0" xfId="0" applyFont="1"/>
    <xf numFmtId="0" fontId="23" fillId="2" borderId="0" xfId="0" applyFont="1" applyFill="1" applyBorder="1"/>
    <xf numFmtId="0" fontId="28" fillId="2" borderId="0" xfId="0" applyFont="1" applyFill="1" applyBorder="1"/>
    <xf numFmtId="2" fontId="23" fillId="2" borderId="0" xfId="0" applyNumberFormat="1" applyFont="1" applyFill="1" applyBorder="1"/>
    <xf numFmtId="0" fontId="23" fillId="0" borderId="0" xfId="0" applyFont="1"/>
    <xf numFmtId="0" fontId="20" fillId="9" borderId="14" xfId="0" applyFont="1" applyFill="1" applyBorder="1" applyAlignment="1">
      <alignment horizontal="center"/>
    </xf>
    <xf numFmtId="2" fontId="21" fillId="2" borderId="31" xfId="0" applyNumberFormat="1" applyFont="1" applyFill="1" applyBorder="1" applyAlignment="1">
      <alignment horizontal="center"/>
    </xf>
    <xf numFmtId="2" fontId="21" fillId="2" borderId="15" xfId="0" applyNumberFormat="1" applyFont="1" applyFill="1" applyBorder="1" applyAlignment="1">
      <alignment horizontal="center"/>
    </xf>
    <xf numFmtId="2" fontId="20" fillId="3" borderId="3" xfId="0" applyNumberFormat="1" applyFont="1" applyFill="1" applyBorder="1" applyAlignment="1">
      <alignment horizontal="center"/>
    </xf>
    <xf numFmtId="2" fontId="20" fillId="3" borderId="4" xfId="0" applyNumberFormat="1" applyFont="1" applyFill="1" applyBorder="1" applyAlignment="1">
      <alignment horizontal="center"/>
    </xf>
    <xf numFmtId="0" fontId="7" fillId="3" borderId="48" xfId="0" applyFont="1" applyFill="1" applyBorder="1" applyAlignment="1">
      <alignment horizontal="left" vertical="center"/>
    </xf>
    <xf numFmtId="0" fontId="7" fillId="4" borderId="46" xfId="0" applyFont="1" applyFill="1" applyBorder="1" applyAlignment="1">
      <alignment vertical="center"/>
    </xf>
    <xf numFmtId="0" fontId="7" fillId="4" borderId="47" xfId="0" applyFont="1" applyFill="1" applyBorder="1" applyAlignment="1">
      <alignment vertical="center"/>
    </xf>
    <xf numFmtId="0" fontId="7" fillId="4" borderId="48" xfId="0" applyFont="1" applyFill="1" applyBorder="1" applyAlignment="1">
      <alignment vertical="center"/>
    </xf>
    <xf numFmtId="0" fontId="7" fillId="5" borderId="46" xfId="0" applyFont="1" applyFill="1" applyBorder="1" applyAlignment="1">
      <alignment vertical="center"/>
    </xf>
    <xf numFmtId="0" fontId="0" fillId="5" borderId="47" xfId="0" applyFill="1" applyBorder="1"/>
    <xf numFmtId="0" fontId="5" fillId="5" borderId="48" xfId="0" applyFont="1" applyFill="1" applyBorder="1" applyAlignment="1">
      <alignment vertical="center"/>
    </xf>
    <xf numFmtId="0" fontId="23" fillId="0" borderId="0" xfId="0" applyFont="1" applyFill="1"/>
    <xf numFmtId="0" fontId="0" fillId="0" borderId="55" xfId="0" applyFont="1" applyBorder="1"/>
    <xf numFmtId="0" fontId="0" fillId="0" borderId="24" xfId="0" applyFont="1" applyBorder="1"/>
    <xf numFmtId="0" fontId="21" fillId="2" borderId="9" xfId="0" applyFont="1" applyFill="1" applyBorder="1" applyAlignment="1" applyProtection="1">
      <alignment horizontal="center"/>
      <protection locked="0"/>
    </xf>
    <xf numFmtId="0" fontId="21" fillId="2" borderId="31" xfId="0" applyFont="1" applyFill="1" applyBorder="1" applyAlignment="1" applyProtection="1">
      <alignment horizontal="center"/>
      <protection locked="0"/>
    </xf>
    <xf numFmtId="0" fontId="20" fillId="3" borderId="3" xfId="0" applyFont="1" applyFill="1" applyBorder="1" applyAlignment="1" applyProtection="1">
      <alignment horizontal="center"/>
      <protection locked="0"/>
    </xf>
    <xf numFmtId="0" fontId="5" fillId="2" borderId="6" xfId="0" applyFont="1" applyFill="1" applyBorder="1" applyAlignment="1" applyProtection="1">
      <alignment horizontal="center" vertical="center"/>
      <protection locked="0"/>
    </xf>
    <xf numFmtId="0" fontId="5" fillId="2" borderId="9" xfId="0" applyFont="1" applyFill="1" applyBorder="1" applyAlignment="1" applyProtection="1">
      <alignment horizontal="center" vertical="center"/>
      <protection locked="0"/>
    </xf>
    <xf numFmtId="0" fontId="5" fillId="2" borderId="12" xfId="0" applyFont="1" applyFill="1" applyBorder="1" applyAlignment="1" applyProtection="1">
      <alignment horizontal="center" vertical="center"/>
      <protection locked="0"/>
    </xf>
    <xf numFmtId="0" fontId="9" fillId="2" borderId="3" xfId="0" applyFont="1" applyFill="1" applyBorder="1" applyAlignment="1" applyProtection="1">
      <alignment horizontal="center" vertical="center"/>
      <protection locked="0"/>
    </xf>
    <xf numFmtId="0" fontId="9" fillId="2" borderId="45" xfId="0" applyFont="1" applyFill="1" applyBorder="1" applyAlignment="1" applyProtection="1">
      <alignment horizontal="center" vertical="center"/>
      <protection locked="0"/>
    </xf>
    <xf numFmtId="0" fontId="0" fillId="0" borderId="53" xfId="0" applyFont="1" applyFill="1" applyBorder="1" applyProtection="1"/>
    <xf numFmtId="0" fontId="0" fillId="0" borderId="18" xfId="0" applyFont="1" applyBorder="1" applyProtection="1"/>
    <xf numFmtId="4" fontId="24" fillId="2" borderId="10" xfId="0" applyNumberFormat="1" applyFont="1" applyFill="1" applyBorder="1" applyAlignment="1" applyProtection="1">
      <alignment horizontal="right" vertical="center"/>
      <protection locked="0"/>
    </xf>
    <xf numFmtId="4" fontId="26" fillId="0" borderId="10" xfId="0" applyNumberFormat="1" applyFont="1" applyBorder="1" applyAlignment="1" applyProtection="1">
      <alignment horizontal="right"/>
      <protection locked="0"/>
    </xf>
    <xf numFmtId="4" fontId="26" fillId="0" borderId="13" xfId="0" applyNumberFormat="1" applyFont="1" applyBorder="1" applyAlignment="1" applyProtection="1">
      <alignment horizontal="right"/>
      <protection locked="0"/>
    </xf>
    <xf numFmtId="1" fontId="40" fillId="2" borderId="71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52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76" xfId="0" applyNumberFormat="1" applyFont="1" applyFill="1" applyBorder="1" applyAlignment="1" applyProtection="1">
      <alignment horizontal="center" vertical="center" shrinkToFit="1"/>
      <protection locked="0"/>
    </xf>
    <xf numFmtId="2" fontId="40" fillId="2" borderId="74" xfId="0" applyNumberFormat="1" applyFont="1" applyFill="1" applyBorder="1" applyAlignment="1" applyProtection="1">
      <alignment horizontal="center" vertical="center" shrinkToFit="1"/>
    </xf>
    <xf numFmtId="1" fontId="40" fillId="2" borderId="69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51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65" xfId="0" applyNumberFormat="1" applyFont="1" applyFill="1" applyBorder="1" applyAlignment="1" applyProtection="1">
      <alignment horizontal="center" vertical="center" shrinkToFit="1"/>
      <protection locked="0"/>
    </xf>
    <xf numFmtId="2" fontId="40" fillId="2" borderId="75" xfId="0" applyNumberFormat="1" applyFont="1" applyFill="1" applyBorder="1" applyAlignment="1" applyProtection="1">
      <alignment horizontal="center" vertical="center" shrinkToFit="1"/>
    </xf>
    <xf numFmtId="1" fontId="40" fillId="2" borderId="70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63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66" xfId="0" applyNumberFormat="1" applyFont="1" applyFill="1" applyBorder="1" applyAlignment="1" applyProtection="1">
      <alignment horizontal="center" vertical="center" shrinkToFit="1"/>
      <protection locked="0"/>
    </xf>
    <xf numFmtId="2" fontId="40" fillId="2" borderId="73" xfId="0" applyNumberFormat="1" applyFont="1" applyFill="1" applyBorder="1" applyAlignment="1" applyProtection="1">
      <alignment horizontal="center" vertical="center" shrinkToFit="1"/>
    </xf>
    <xf numFmtId="0" fontId="40" fillId="0" borderId="0" xfId="0" applyFont="1" applyBorder="1" applyAlignment="1" applyProtection="1">
      <alignment vertical="center" shrinkToFit="1"/>
    </xf>
    <xf numFmtId="0" fontId="40" fillId="0" borderId="0" xfId="0" applyFont="1" applyFill="1" applyBorder="1" applyAlignment="1" applyProtection="1">
      <alignment horizontal="center" vertical="center" shrinkToFit="1"/>
    </xf>
    <xf numFmtId="0" fontId="40" fillId="0" borderId="0" xfId="0" applyFont="1" applyBorder="1" applyAlignment="1" applyProtection="1">
      <alignment horizontal="center" vertical="center" shrinkToFit="1"/>
    </xf>
    <xf numFmtId="0" fontId="41" fillId="0" borderId="0" xfId="0" applyFont="1" applyFill="1" applyBorder="1" applyAlignment="1" applyProtection="1">
      <alignment horizontal="center" vertical="center" shrinkToFit="1"/>
    </xf>
    <xf numFmtId="0" fontId="45" fillId="2" borderId="52" xfId="0" applyFont="1" applyFill="1" applyBorder="1" applyAlignment="1" applyProtection="1">
      <alignment horizontal="center" vertical="center" shrinkToFit="1"/>
      <protection locked="0"/>
    </xf>
    <xf numFmtId="0" fontId="45" fillId="2" borderId="67" xfId="0" applyFont="1" applyFill="1" applyBorder="1" applyAlignment="1" applyProtection="1">
      <alignment horizontal="center" vertical="center" shrinkToFit="1"/>
      <protection locked="0"/>
    </xf>
    <xf numFmtId="0" fontId="40" fillId="2" borderId="68" xfId="0" applyFont="1" applyFill="1" applyBorder="1" applyAlignment="1" applyProtection="1">
      <alignment horizontal="center" vertical="center" shrinkToFit="1"/>
      <protection locked="0"/>
    </xf>
    <xf numFmtId="0" fontId="40" fillId="2" borderId="58" xfId="0" applyFont="1" applyFill="1" applyBorder="1" applyAlignment="1" applyProtection="1">
      <alignment horizontal="center" vertical="center" shrinkToFit="1"/>
      <protection locked="0"/>
    </xf>
    <xf numFmtId="0" fontId="40" fillId="0" borderId="59" xfId="0" applyFont="1" applyBorder="1" applyAlignment="1" applyProtection="1">
      <alignment horizontal="center" vertical="center" shrinkToFit="1"/>
      <protection locked="0"/>
    </xf>
    <xf numFmtId="0" fontId="46" fillId="0" borderId="0" xfId="0" applyFont="1" applyFill="1" applyBorder="1" applyAlignment="1" applyProtection="1">
      <alignment horizontal="center" vertical="center" shrinkToFit="1"/>
    </xf>
    <xf numFmtId="1" fontId="42" fillId="2" borderId="51" xfId="0" applyNumberFormat="1" applyFont="1" applyFill="1" applyBorder="1" applyAlignment="1" applyProtection="1">
      <alignment horizontal="center" shrinkToFit="1"/>
      <protection locked="0"/>
    </xf>
    <xf numFmtId="1" fontId="42" fillId="2" borderId="61" xfId="0" applyNumberFormat="1" applyFont="1" applyFill="1" applyBorder="1" applyAlignment="1" applyProtection="1">
      <alignment vertical="center" shrinkToFit="1"/>
      <protection locked="0"/>
    </xf>
    <xf numFmtId="0" fontId="45" fillId="2" borderId="51" xfId="0" applyFont="1" applyFill="1" applyBorder="1" applyAlignment="1" applyProtection="1">
      <alignment horizontal="center" vertical="center" shrinkToFit="1"/>
      <protection locked="0"/>
    </xf>
    <xf numFmtId="0" fontId="45" fillId="2" borderId="60" xfId="0" applyFont="1" applyFill="1" applyBorder="1" applyAlignment="1" applyProtection="1">
      <alignment horizontal="center" vertical="center" shrinkToFit="1"/>
      <protection locked="0"/>
    </xf>
    <xf numFmtId="0" fontId="40" fillId="2" borderId="61" xfId="0" applyFont="1" applyFill="1" applyBorder="1" applyAlignment="1" applyProtection="1">
      <alignment horizontal="center" vertical="center" shrinkToFit="1"/>
      <protection locked="0"/>
    </xf>
    <xf numFmtId="0" fontId="40" fillId="2" borderId="51" xfId="0" applyFont="1" applyFill="1" applyBorder="1" applyAlignment="1" applyProtection="1">
      <alignment horizontal="center" vertical="center" shrinkToFit="1"/>
      <protection locked="0"/>
    </xf>
    <xf numFmtId="0" fontId="40" fillId="0" borderId="61" xfId="0" applyFont="1" applyBorder="1" applyAlignment="1" applyProtection="1">
      <alignment horizontal="center" vertical="center" shrinkToFit="1"/>
      <protection locked="0"/>
    </xf>
    <xf numFmtId="0" fontId="40" fillId="2" borderId="51" xfId="0" applyFont="1" applyFill="1" applyBorder="1" applyAlignment="1" applyProtection="1">
      <alignment horizontal="left" vertical="center" shrinkToFit="1"/>
      <protection locked="0"/>
    </xf>
    <xf numFmtId="0" fontId="40" fillId="0" borderId="61" xfId="0" applyFont="1" applyFill="1" applyBorder="1" applyAlignment="1" applyProtection="1">
      <alignment horizontal="center" vertical="center" shrinkToFit="1"/>
      <protection locked="0"/>
    </xf>
    <xf numFmtId="0" fontId="40" fillId="0" borderId="0" xfId="0" applyFont="1" applyFill="1" applyBorder="1" applyAlignment="1" applyProtection="1">
      <alignment vertical="center" shrinkToFit="1"/>
    </xf>
    <xf numFmtId="0" fontId="38" fillId="0" borderId="0" xfId="0" applyFont="1" applyFill="1" applyBorder="1" applyAlignment="1" applyProtection="1">
      <alignment horizontal="center" vertical="center" shrinkToFit="1"/>
    </xf>
    <xf numFmtId="0" fontId="41" fillId="0" borderId="0" xfId="0" applyFont="1" applyFill="1" applyBorder="1" applyAlignment="1" applyProtection="1">
      <alignment vertical="center" shrinkToFit="1"/>
    </xf>
    <xf numFmtId="0" fontId="47" fillId="0" borderId="0" xfId="0" applyFont="1" applyFill="1" applyBorder="1" applyAlignment="1" applyProtection="1">
      <alignment horizontal="center" vertical="center" shrinkToFit="1"/>
    </xf>
    <xf numFmtId="0" fontId="37" fillId="2" borderId="51" xfId="0" applyFont="1" applyFill="1" applyBorder="1" applyAlignment="1" applyProtection="1">
      <alignment horizontal="left" vertical="center" shrinkToFit="1"/>
      <protection locked="0"/>
    </xf>
    <xf numFmtId="0" fontId="40" fillId="2" borderId="51" xfId="0" applyFont="1" applyFill="1" applyBorder="1" applyAlignment="1" applyProtection="1">
      <alignment vertical="center" shrinkToFit="1"/>
      <protection locked="0"/>
    </xf>
    <xf numFmtId="1" fontId="42" fillId="2" borderId="63" xfId="0" applyNumberFormat="1" applyFont="1" applyFill="1" applyBorder="1" applyAlignment="1" applyProtection="1">
      <alignment horizontal="center" shrinkToFit="1"/>
      <protection locked="0"/>
    </xf>
    <xf numFmtId="1" fontId="42" fillId="2" borderId="64" xfId="0" applyNumberFormat="1" applyFont="1" applyFill="1" applyBorder="1" applyAlignment="1" applyProtection="1">
      <alignment vertical="center" shrinkToFit="1"/>
      <protection locked="0"/>
    </xf>
    <xf numFmtId="0" fontId="45" fillId="2" borderId="63" xfId="0" applyFont="1" applyFill="1" applyBorder="1" applyAlignment="1" applyProtection="1">
      <alignment horizontal="center" vertical="center" shrinkToFit="1"/>
      <protection locked="0"/>
    </xf>
    <xf numFmtId="0" fontId="45" fillId="2" borderId="62" xfId="0" applyFont="1" applyFill="1" applyBorder="1" applyAlignment="1" applyProtection="1">
      <alignment horizontal="center" vertical="center" shrinkToFit="1"/>
      <protection locked="0"/>
    </xf>
    <xf numFmtId="0" fontId="40" fillId="2" borderId="64" xfId="0" applyFont="1" applyFill="1" applyBorder="1" applyAlignment="1" applyProtection="1">
      <alignment horizontal="center" vertical="center" shrinkToFit="1"/>
      <protection locked="0"/>
    </xf>
    <xf numFmtId="0" fontId="40" fillId="2" borderId="63" xfId="0" applyFont="1" applyFill="1" applyBorder="1" applyAlignment="1" applyProtection="1">
      <alignment horizontal="center" vertical="center" shrinkToFit="1"/>
      <protection locked="0"/>
    </xf>
    <xf numFmtId="0" fontId="40" fillId="2" borderId="63" xfId="0" applyFont="1" applyFill="1" applyBorder="1" applyAlignment="1" applyProtection="1">
      <alignment vertical="center" shrinkToFit="1"/>
      <protection locked="0"/>
    </xf>
    <xf numFmtId="0" fontId="40" fillId="2" borderId="63" xfId="0" applyFont="1" applyFill="1" applyBorder="1" applyAlignment="1" applyProtection="1">
      <alignment horizontal="left" vertical="center" shrinkToFit="1"/>
    </xf>
    <xf numFmtId="0" fontId="40" fillId="2" borderId="64" xfId="0" applyFont="1" applyFill="1" applyBorder="1" applyAlignment="1" applyProtection="1">
      <alignment vertical="center" shrinkToFit="1"/>
    </xf>
    <xf numFmtId="187" fontId="40" fillId="0" borderId="0" xfId="0" applyNumberFormat="1" applyFont="1" applyFill="1" applyBorder="1" applyAlignment="1" applyProtection="1">
      <alignment horizontal="center" vertical="center" shrinkToFit="1"/>
    </xf>
    <xf numFmtId="0" fontId="40" fillId="0" borderId="0" xfId="0" applyFont="1" applyFill="1" applyBorder="1" applyAlignment="1" applyProtection="1">
      <alignment horizontal="left" vertical="center" shrinkToFit="1"/>
    </xf>
    <xf numFmtId="0" fontId="46" fillId="0" borderId="0" xfId="0" applyFont="1" applyBorder="1" applyAlignment="1" applyProtection="1">
      <alignment horizontal="center" vertical="center" shrinkToFit="1"/>
    </xf>
    <xf numFmtId="0" fontId="44" fillId="0" borderId="0" xfId="0" applyFont="1" applyBorder="1" applyAlignment="1" applyProtection="1">
      <alignment horizontal="center" vertical="center" shrinkToFit="1"/>
    </xf>
    <xf numFmtId="1" fontId="38" fillId="10" borderId="0" xfId="0" applyNumberFormat="1" applyFont="1" applyFill="1" applyBorder="1" applyAlignment="1" applyProtection="1">
      <alignment horizontal="center" vertical="center" shrinkToFit="1"/>
    </xf>
    <xf numFmtId="1" fontId="40" fillId="0" borderId="0" xfId="0" applyNumberFormat="1" applyFont="1" applyBorder="1" applyAlignment="1" applyProtection="1">
      <alignment horizontal="center" vertical="center" shrinkToFit="1"/>
    </xf>
    <xf numFmtId="0" fontId="49" fillId="0" borderId="0" xfId="0" applyFont="1"/>
    <xf numFmtId="0" fontId="53" fillId="0" borderId="88" xfId="0" applyFont="1" applyBorder="1" applyAlignment="1">
      <alignment horizontal="center" vertical="center"/>
    </xf>
    <xf numFmtId="0" fontId="53" fillId="0" borderId="88" xfId="0" applyFont="1" applyBorder="1" applyAlignment="1">
      <alignment horizontal="left" vertical="center"/>
    </xf>
    <xf numFmtId="1" fontId="42" fillId="0" borderId="88" xfId="0" applyNumberFormat="1" applyFont="1" applyBorder="1" applyAlignment="1">
      <alignment horizontal="center"/>
    </xf>
    <xf numFmtId="0" fontId="42" fillId="0" borderId="88" xfId="0" applyFont="1" applyBorder="1" applyAlignment="1">
      <alignment horizontal="center"/>
    </xf>
    <xf numFmtId="49" fontId="52" fillId="0" borderId="88" xfId="0" applyNumberFormat="1" applyFont="1" applyBorder="1" applyAlignment="1">
      <alignment horizontal="center" vertical="center"/>
    </xf>
    <xf numFmtId="49" fontId="52" fillId="0" borderId="88" xfId="0" applyNumberFormat="1" applyFont="1" applyFill="1" applyBorder="1" applyAlignment="1">
      <alignment horizontal="center" vertical="center"/>
    </xf>
    <xf numFmtId="1" fontId="52" fillId="0" borderId="88" xfId="0" applyNumberFormat="1" applyFont="1" applyBorder="1" applyAlignment="1">
      <alignment horizontal="center" vertical="center"/>
    </xf>
    <xf numFmtId="1" fontId="53" fillId="0" borderId="88" xfId="0" applyNumberFormat="1" applyFont="1" applyFill="1" applyBorder="1" applyAlignment="1">
      <alignment horizontal="center" vertical="center"/>
    </xf>
    <xf numFmtId="1" fontId="53" fillId="0" borderId="88" xfId="0" applyNumberFormat="1" applyFont="1" applyBorder="1" applyAlignment="1">
      <alignment horizontal="center" vertical="center"/>
    </xf>
    <xf numFmtId="0" fontId="53" fillId="0" borderId="88" xfId="0" applyFont="1" applyBorder="1" applyAlignment="1">
      <alignment vertical="center"/>
    </xf>
    <xf numFmtId="0" fontId="42" fillId="0" borderId="88" xfId="0" applyFont="1" applyFill="1" applyBorder="1" applyAlignment="1">
      <alignment horizontal="center"/>
    </xf>
    <xf numFmtId="0" fontId="49" fillId="0" borderId="0" xfId="0" applyFont="1" applyAlignment="1">
      <alignment horizontal="center"/>
    </xf>
    <xf numFmtId="0" fontId="40" fillId="0" borderId="0" xfId="0" applyFont="1" applyFill="1" applyBorder="1" applyAlignment="1">
      <alignment vertical="center"/>
    </xf>
    <xf numFmtId="0" fontId="40" fillId="0" borderId="0" xfId="0" applyFont="1" applyBorder="1" applyAlignment="1">
      <alignment vertical="center"/>
    </xf>
    <xf numFmtId="1" fontId="42" fillId="2" borderId="99" xfId="0" applyNumberFormat="1" applyFont="1" applyFill="1" applyBorder="1" applyAlignment="1" applyProtection="1">
      <alignment horizontal="center" vertical="center" shrinkToFit="1"/>
      <protection locked="0"/>
    </xf>
    <xf numFmtId="0" fontId="52" fillId="0" borderId="0" xfId="0" applyFont="1" applyFill="1" applyBorder="1" applyAlignment="1" applyProtection="1">
      <alignment horizontal="center" vertical="center" shrinkToFit="1"/>
    </xf>
    <xf numFmtId="187" fontId="52" fillId="0" borderId="0" xfId="0" applyNumberFormat="1" applyFont="1" applyFill="1" applyBorder="1" applyAlignment="1" applyProtection="1">
      <alignment horizontal="center" vertical="center" shrinkToFit="1"/>
    </xf>
    <xf numFmtId="0" fontId="52" fillId="0" borderId="0" xfId="0" applyFont="1" applyFill="1" applyBorder="1" applyAlignment="1" applyProtection="1">
      <alignment horizontal="left" vertical="center" shrinkToFit="1"/>
    </xf>
    <xf numFmtId="0" fontId="52" fillId="0" borderId="0" xfId="0" applyFont="1" applyFill="1" applyBorder="1" applyAlignment="1" applyProtection="1">
      <alignment vertical="center" shrinkToFit="1"/>
    </xf>
    <xf numFmtId="0" fontId="52" fillId="0" borderId="0" xfId="0" applyFont="1" applyBorder="1" applyAlignment="1" applyProtection="1">
      <alignment vertical="center" shrinkToFit="1"/>
    </xf>
    <xf numFmtId="0" fontId="42" fillId="0" borderId="0" xfId="0" applyFont="1" applyAlignment="1">
      <alignment shrinkToFit="1"/>
    </xf>
    <xf numFmtId="0" fontId="0" fillId="0" borderId="0" xfId="0" applyProtection="1"/>
    <xf numFmtId="0" fontId="3" fillId="0" borderId="0" xfId="0" applyNumberFormat="1" applyFont="1" applyProtection="1"/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58" fillId="0" borderId="0" xfId="0" applyFont="1"/>
    <xf numFmtId="0" fontId="58" fillId="16" borderId="0" xfId="0" applyFont="1" applyFill="1"/>
    <xf numFmtId="0" fontId="60" fillId="13" borderId="0" xfId="0" applyFont="1" applyFill="1" applyAlignment="1">
      <alignment horizontal="center" vertical="center"/>
    </xf>
    <xf numFmtId="0" fontId="58" fillId="14" borderId="0" xfId="0" applyFont="1" applyFill="1" applyAlignment="1">
      <alignment horizontal="center" vertical="center"/>
    </xf>
    <xf numFmtId="0" fontId="58" fillId="12" borderId="0" xfId="0" applyFont="1" applyFill="1" applyAlignment="1">
      <alignment horizontal="center" vertical="center"/>
    </xf>
    <xf numFmtId="1" fontId="42" fillId="2" borderId="84" xfId="0" applyNumberFormat="1" applyFont="1" applyFill="1" applyBorder="1" applyAlignment="1" applyProtection="1">
      <alignment horizontal="center" vertical="center" shrinkToFit="1"/>
      <protection locked="0"/>
    </xf>
    <xf numFmtId="1" fontId="42" fillId="2" borderId="50" xfId="0" applyNumberFormat="1" applyFont="1" applyFill="1" applyBorder="1" applyAlignment="1" applyProtection="1">
      <alignment horizontal="center" vertical="center" shrinkToFit="1"/>
      <protection locked="0"/>
    </xf>
    <xf numFmtId="0" fontId="40" fillId="2" borderId="74" xfId="0" applyFont="1" applyFill="1" applyBorder="1" applyAlignment="1" applyProtection="1">
      <alignment horizontal="center" vertical="center" shrinkToFit="1"/>
    </xf>
    <xf numFmtId="0" fontId="40" fillId="2" borderId="71" xfId="0" applyFont="1" applyFill="1" applyBorder="1" applyAlignment="1" applyProtection="1">
      <alignment horizontal="center" vertical="center" shrinkToFit="1"/>
    </xf>
    <xf numFmtId="0" fontId="45" fillId="2" borderId="69" xfId="0" applyFont="1" applyFill="1" applyBorder="1" applyAlignment="1" applyProtection="1">
      <alignment horizontal="center" vertical="center" shrinkToFit="1"/>
      <protection locked="0"/>
    </xf>
    <xf numFmtId="0" fontId="45" fillId="2" borderId="70" xfId="0" applyFont="1" applyFill="1" applyBorder="1" applyAlignment="1" applyProtection="1">
      <alignment horizontal="center" vertical="center" shrinkToFit="1"/>
      <protection locked="0"/>
    </xf>
    <xf numFmtId="0" fontId="40" fillId="2" borderId="75" xfId="0" applyFont="1" applyFill="1" applyBorder="1" applyAlignment="1" applyProtection="1">
      <alignment horizontal="center" vertical="center" shrinkToFit="1"/>
    </xf>
    <xf numFmtId="0" fontId="40" fillId="2" borderId="73" xfId="0" applyFont="1" applyFill="1" applyBorder="1" applyAlignment="1" applyProtection="1">
      <alignment horizontal="center" vertical="center" shrinkToFit="1"/>
    </xf>
    <xf numFmtId="0" fontId="40" fillId="2" borderId="70" xfId="0" applyFont="1" applyFill="1" applyBorder="1" applyAlignment="1" applyProtection="1">
      <alignment horizontal="center" vertical="center" shrinkToFit="1"/>
    </xf>
    <xf numFmtId="0" fontId="40" fillId="2" borderId="68" xfId="0" applyFont="1" applyFill="1" applyBorder="1" applyAlignment="1" applyProtection="1">
      <alignment vertical="center" shrinkToFit="1"/>
    </xf>
    <xf numFmtId="0" fontId="40" fillId="2" borderId="72" xfId="0" applyFont="1" applyFill="1" applyBorder="1" applyAlignment="1" applyProtection="1">
      <alignment horizontal="center" vertical="center" shrinkToFit="1"/>
    </xf>
    <xf numFmtId="0" fontId="37" fillId="2" borderId="85" xfId="0" applyFont="1" applyFill="1" applyBorder="1" applyAlignment="1" applyProtection="1">
      <alignment horizontal="left" vertical="center" shrinkToFit="1"/>
    </xf>
    <xf numFmtId="0" fontId="39" fillId="2" borderId="86" xfId="0" applyFont="1" applyFill="1" applyBorder="1" applyAlignment="1" applyProtection="1">
      <alignment horizontal="left" vertical="center" shrinkToFit="1"/>
    </xf>
    <xf numFmtId="0" fontId="40" fillId="2" borderId="72" xfId="0" applyFont="1" applyFill="1" applyBorder="1" applyAlignment="1" applyProtection="1">
      <alignment horizontal="center" vertical="center" shrinkToFit="1"/>
      <protection locked="0"/>
    </xf>
    <xf numFmtId="0" fontId="40" fillId="2" borderId="75" xfId="0" applyFont="1" applyFill="1" applyBorder="1" applyAlignment="1" applyProtection="1">
      <alignment horizontal="center" vertical="center" shrinkToFit="1"/>
      <protection locked="0"/>
    </xf>
    <xf numFmtId="0" fontId="40" fillId="2" borderId="52" xfId="0" applyFont="1" applyFill="1" applyBorder="1" applyAlignment="1" applyProtection="1">
      <alignment horizontal="left" vertical="center" shrinkToFit="1"/>
    </xf>
    <xf numFmtId="0" fontId="40" fillId="2" borderId="82" xfId="0" applyFont="1" applyFill="1" applyBorder="1" applyAlignment="1" applyProtection="1">
      <alignment horizontal="left" vertical="center" shrinkToFit="1"/>
      <protection locked="0"/>
    </xf>
    <xf numFmtId="0" fontId="37" fillId="2" borderId="82" xfId="0" applyFont="1" applyFill="1" applyBorder="1" applyAlignment="1" applyProtection="1">
      <alignment horizontal="left" vertical="center" shrinkToFit="1"/>
    </xf>
    <xf numFmtId="0" fontId="39" fillId="2" borderId="82" xfId="0" applyFont="1" applyFill="1" applyBorder="1" applyAlignment="1" applyProtection="1">
      <alignment horizontal="left" vertical="center" shrinkToFit="1"/>
    </xf>
    <xf numFmtId="0" fontId="39" fillId="2" borderId="83" xfId="0" applyFont="1" applyFill="1" applyBorder="1" applyAlignment="1" applyProtection="1">
      <alignment horizontal="left" vertical="center" shrinkToFit="1"/>
    </xf>
    <xf numFmtId="0" fontId="37" fillId="2" borderId="102" xfId="0" applyFont="1" applyFill="1" applyBorder="1" applyAlignment="1" applyProtection="1">
      <alignment horizontal="left" vertical="center" shrinkToFit="1"/>
    </xf>
    <xf numFmtId="0" fontId="40" fillId="2" borderId="30" xfId="0" applyFont="1" applyFill="1" applyBorder="1" applyAlignment="1" applyProtection="1">
      <alignment horizontal="center" vertical="center" shrinkToFit="1"/>
      <protection locked="0"/>
    </xf>
    <xf numFmtId="0" fontId="40" fillId="2" borderId="1" xfId="0" applyFont="1" applyFill="1" applyBorder="1" applyAlignment="1" applyProtection="1">
      <alignment horizontal="left" vertical="center" shrinkToFit="1"/>
      <protection locked="0"/>
    </xf>
    <xf numFmtId="0" fontId="40" fillId="2" borderId="105" xfId="0" applyFont="1" applyFill="1" applyBorder="1" applyAlignment="1" applyProtection="1">
      <alignment horizontal="center" vertical="center" shrinkToFit="1"/>
      <protection locked="0"/>
    </xf>
    <xf numFmtId="0" fontId="40" fillId="2" borderId="106" xfId="0" applyFont="1" applyFill="1" applyBorder="1" applyAlignment="1" applyProtection="1">
      <alignment horizontal="left" vertical="center" shrinkToFit="1"/>
      <protection locked="0"/>
    </xf>
    <xf numFmtId="0" fontId="42" fillId="0" borderId="0" xfId="0" applyFont="1" applyAlignment="1">
      <alignment horizontal="center" vertical="center" shrinkToFit="1"/>
    </xf>
    <xf numFmtId="0" fontId="37" fillId="2" borderId="70" xfId="0" applyFont="1" applyFill="1" applyBorder="1" applyAlignment="1" applyProtection="1">
      <alignment horizontal="center" vertical="center" shrinkToFit="1"/>
      <protection locked="0"/>
    </xf>
    <xf numFmtId="0" fontId="37" fillId="2" borderId="63" xfId="0" applyFont="1" applyFill="1" applyBorder="1" applyAlignment="1" applyProtection="1">
      <alignment horizontal="center" vertical="center" shrinkToFit="1"/>
      <protection locked="0"/>
    </xf>
    <xf numFmtId="0" fontId="15" fillId="12" borderId="0" xfId="0" applyFont="1" applyFill="1" applyAlignment="1" applyProtection="1">
      <alignment horizontal="center" vertical="center"/>
    </xf>
    <xf numFmtId="0" fontId="14" fillId="12" borderId="0" xfId="0" applyFont="1" applyFill="1" applyAlignment="1" applyProtection="1">
      <alignment horizontal="center" vertical="center"/>
    </xf>
    <xf numFmtId="0" fontId="22" fillId="12" borderId="0" xfId="0" applyFont="1" applyFill="1" applyProtection="1"/>
    <xf numFmtId="1" fontId="16" fillId="4" borderId="8" xfId="0" applyNumberFormat="1" applyFont="1" applyFill="1" applyBorder="1" applyAlignment="1" applyProtection="1">
      <alignment horizontal="center" vertical="center"/>
    </xf>
    <xf numFmtId="188" fontId="16" fillId="4" borderId="9" xfId="0" applyNumberFormat="1" applyFont="1" applyFill="1" applyBorder="1" applyAlignment="1" applyProtection="1">
      <alignment horizontal="center" vertical="center"/>
    </xf>
    <xf numFmtId="1" fontId="16" fillId="4" borderId="9" xfId="0" applyNumberFormat="1" applyFont="1" applyFill="1" applyBorder="1" applyAlignment="1" applyProtection="1">
      <alignment horizontal="center" vertical="center"/>
    </xf>
    <xf numFmtId="1" fontId="16" fillId="4" borderId="10" xfId="0" applyNumberFormat="1" applyFont="1" applyFill="1" applyBorder="1" applyAlignment="1" applyProtection="1">
      <alignment horizontal="center" vertical="center"/>
    </xf>
    <xf numFmtId="0" fontId="16" fillId="4" borderId="11" xfId="0" applyNumberFormat="1" applyFont="1" applyFill="1" applyBorder="1" applyAlignment="1" applyProtection="1">
      <alignment horizontal="center" vertical="center"/>
    </xf>
    <xf numFmtId="0" fontId="16" fillId="4" borderId="12" xfId="0" applyNumberFormat="1" applyFont="1" applyFill="1" applyBorder="1" applyAlignment="1" applyProtection="1">
      <alignment horizontal="center" vertical="center"/>
    </xf>
    <xf numFmtId="0" fontId="16" fillId="4" borderId="13" xfId="0" applyNumberFormat="1" applyFont="1" applyFill="1" applyBorder="1" applyAlignment="1" applyProtection="1">
      <alignment horizontal="center" vertical="center"/>
    </xf>
    <xf numFmtId="2" fontId="1" fillId="4" borderId="2" xfId="0" applyNumberFormat="1" applyFont="1" applyFill="1" applyBorder="1" applyAlignment="1" applyProtection="1">
      <alignment horizontal="center" vertical="center" shrinkToFit="1"/>
    </xf>
    <xf numFmtId="2" fontId="1" fillId="4" borderId="3" xfId="0" applyNumberFormat="1" applyFont="1" applyFill="1" applyBorder="1" applyAlignment="1" applyProtection="1">
      <alignment horizontal="center" vertical="center" shrinkToFit="1"/>
    </xf>
    <xf numFmtId="2" fontId="1" fillId="4" borderId="4" xfId="0" applyNumberFormat="1" applyFont="1" applyFill="1" applyBorder="1" applyAlignment="1" applyProtection="1">
      <alignment horizontal="center" vertical="center" shrinkToFit="1"/>
    </xf>
    <xf numFmtId="2" fontId="34" fillId="4" borderId="0" xfId="1" applyNumberFormat="1" applyFont="1" applyFill="1" applyBorder="1" applyAlignment="1" applyProtection="1">
      <alignment horizontal="center" vertical="center"/>
    </xf>
    <xf numFmtId="2" fontId="35" fillId="4" borderId="0" xfId="1" applyNumberFormat="1" applyFont="1" applyFill="1" applyBorder="1" applyAlignment="1" applyProtection="1">
      <alignment horizontal="center" vertical="center"/>
    </xf>
    <xf numFmtId="2" fontId="16" fillId="4" borderId="0" xfId="1" applyNumberFormat="1" applyFont="1" applyFill="1" applyBorder="1" applyAlignment="1" applyProtection="1">
      <alignment horizontal="center" vertical="center"/>
    </xf>
    <xf numFmtId="0" fontId="22" fillId="4" borderId="0" xfId="0" applyFont="1" applyFill="1" applyProtection="1"/>
    <xf numFmtId="0" fontId="11" fillId="4" borderId="0" xfId="0" applyFont="1" applyFill="1" applyAlignment="1" applyProtection="1">
      <alignment horizontal="left"/>
    </xf>
    <xf numFmtId="0" fontId="22" fillId="4" borderId="0" xfId="0" applyFont="1" applyFill="1" applyAlignment="1" applyProtection="1">
      <alignment horizontal="center" vertical="center"/>
    </xf>
    <xf numFmtId="0" fontId="11" fillId="4" borderId="0" xfId="0" applyFont="1" applyFill="1" applyAlignment="1" applyProtection="1">
      <alignment horizontal="center" vertical="center"/>
    </xf>
    <xf numFmtId="0" fontId="11" fillId="12" borderId="0" xfId="0" applyFont="1" applyFill="1" applyAlignment="1" applyProtection="1"/>
    <xf numFmtId="0" fontId="11" fillId="12" borderId="0" xfId="0" applyFont="1" applyFill="1" applyProtection="1"/>
    <xf numFmtId="0" fontId="11" fillId="12" borderId="0" xfId="0" applyFont="1" applyFill="1" applyAlignment="1" applyProtection="1">
      <alignment horizontal="left"/>
    </xf>
    <xf numFmtId="0" fontId="11" fillId="12" borderId="0" xfId="0" applyFont="1" applyFill="1" applyAlignment="1" applyProtection="1">
      <alignment horizontal="center"/>
    </xf>
    <xf numFmtId="0" fontId="12" fillId="12" borderId="0" xfId="0" applyFont="1" applyFill="1" applyAlignment="1" applyProtection="1">
      <alignment horizontal="left"/>
    </xf>
    <xf numFmtId="0" fontId="22" fillId="12" borderId="0" xfId="0" applyFont="1" applyFill="1" applyBorder="1" applyProtection="1"/>
    <xf numFmtId="0" fontId="22" fillId="12" borderId="0" xfId="0" applyFont="1" applyFill="1" applyAlignment="1" applyProtection="1">
      <alignment vertical="center"/>
    </xf>
    <xf numFmtId="0" fontId="22" fillId="12" borderId="32" xfId="0" applyFont="1" applyFill="1" applyBorder="1" applyAlignment="1" applyProtection="1">
      <alignment vertical="center"/>
    </xf>
    <xf numFmtId="0" fontId="22" fillId="12" borderId="0" xfId="0" applyFont="1" applyFill="1" applyBorder="1" applyAlignment="1" applyProtection="1">
      <alignment vertical="center"/>
    </xf>
    <xf numFmtId="0" fontId="11" fillId="12" borderId="32" xfId="0" applyFont="1" applyFill="1" applyBorder="1" applyAlignment="1" applyProtection="1">
      <alignment horizontal="center" vertical="center"/>
    </xf>
    <xf numFmtId="0" fontId="11" fillId="12" borderId="0" xfId="0" applyFont="1" applyFill="1" applyAlignment="1" applyProtection="1">
      <alignment horizontal="center" vertical="center"/>
    </xf>
    <xf numFmtId="0" fontId="0" fillId="12" borderId="0" xfId="0" applyFill="1" applyProtection="1"/>
    <xf numFmtId="0" fontId="0" fillId="12" borderId="0" xfId="0" applyFill="1" applyAlignment="1" applyProtection="1"/>
    <xf numFmtId="0" fontId="37" fillId="8" borderId="74" xfId="0" applyFont="1" applyFill="1" applyBorder="1" applyAlignment="1" applyProtection="1">
      <alignment horizontal="center" vertical="center" shrinkToFit="1"/>
    </xf>
    <xf numFmtId="0" fontId="37" fillId="8" borderId="71" xfId="0" applyFont="1" applyFill="1" applyBorder="1" applyAlignment="1" applyProtection="1">
      <alignment horizontal="center" vertical="center" shrinkToFit="1"/>
    </xf>
    <xf numFmtId="0" fontId="37" fillId="8" borderId="52" xfId="0" applyFont="1" applyFill="1" applyBorder="1" applyAlignment="1" applyProtection="1">
      <alignment horizontal="center" vertical="center" shrinkToFit="1"/>
    </xf>
    <xf numFmtId="0" fontId="37" fillId="8" borderId="76" xfId="0" applyFont="1" applyFill="1" applyBorder="1" applyAlignment="1" applyProtection="1">
      <alignment horizontal="center" vertical="center" shrinkToFit="1"/>
    </xf>
    <xf numFmtId="0" fontId="37" fillId="8" borderId="102" xfId="0" applyFont="1" applyFill="1" applyBorder="1" applyAlignment="1" applyProtection="1">
      <alignment horizontal="center" vertical="center" shrinkToFit="1"/>
    </xf>
    <xf numFmtId="0" fontId="38" fillId="8" borderId="67" xfId="0" applyFont="1" applyFill="1" applyBorder="1" applyAlignment="1" applyProtection="1">
      <alignment horizontal="center" vertical="center" shrinkToFit="1"/>
    </xf>
    <xf numFmtId="0" fontId="38" fillId="8" borderId="52" xfId="0" applyFont="1" applyFill="1" applyBorder="1" applyAlignment="1" applyProtection="1">
      <alignment horizontal="center" vertical="center" shrinkToFit="1"/>
    </xf>
    <xf numFmtId="0" fontId="38" fillId="8" borderId="68" xfId="0" applyFont="1" applyFill="1" applyBorder="1" applyAlignment="1" applyProtection="1">
      <alignment horizontal="center" vertical="center" shrinkToFit="1"/>
    </xf>
    <xf numFmtId="0" fontId="38" fillId="8" borderId="57" xfId="0" applyFont="1" applyFill="1" applyBorder="1" applyAlignment="1" applyProtection="1">
      <alignment horizontal="center" vertical="center" shrinkToFit="1"/>
    </xf>
    <xf numFmtId="0" fontId="38" fillId="8" borderId="58" xfId="0" applyFont="1" applyFill="1" applyBorder="1" applyAlignment="1" applyProtection="1">
      <alignment horizontal="center" vertical="center" shrinkToFit="1"/>
    </xf>
    <xf numFmtId="0" fontId="38" fillId="8" borderId="59" xfId="0" applyFont="1" applyFill="1" applyBorder="1" applyAlignment="1" applyProtection="1">
      <alignment horizontal="center" vertical="center" shrinkToFit="1"/>
    </xf>
    <xf numFmtId="1" fontId="38" fillId="22" borderId="72" xfId="0" applyNumberFormat="1" applyFont="1" applyFill="1" applyBorder="1" applyAlignment="1" applyProtection="1">
      <alignment horizontal="center" vertical="center" shrinkToFit="1"/>
    </xf>
    <xf numFmtId="0" fontId="63" fillId="8" borderId="73" xfId="0" applyFont="1" applyFill="1" applyBorder="1" applyAlignment="1" applyProtection="1">
      <alignment horizontal="center" vertical="center" wrapText="1" shrinkToFit="1"/>
    </xf>
    <xf numFmtId="0" fontId="38" fillId="8" borderId="62" xfId="0" applyFont="1" applyFill="1" applyBorder="1" applyAlignment="1" applyProtection="1">
      <alignment horizontal="center" vertical="center" shrinkToFit="1"/>
    </xf>
    <xf numFmtId="0" fontId="38" fillId="8" borderId="64" xfId="0" applyFont="1" applyFill="1" applyBorder="1" applyAlignment="1" applyProtection="1">
      <alignment horizontal="center" vertical="center" shrinkToFit="1"/>
    </xf>
    <xf numFmtId="0" fontId="43" fillId="8" borderId="62" xfId="0" applyFont="1" applyFill="1" applyBorder="1" applyAlignment="1" applyProtection="1">
      <alignment horizontal="center" vertical="center" shrinkToFit="1"/>
    </xf>
    <xf numFmtId="0" fontId="43" fillId="8" borderId="64" xfId="0" applyFont="1" applyFill="1" applyBorder="1" applyAlignment="1" applyProtection="1">
      <alignment horizontal="center" vertical="center" shrinkToFit="1"/>
    </xf>
    <xf numFmtId="1" fontId="38" fillId="22" borderId="73" xfId="0" applyNumberFormat="1" applyFont="1" applyFill="1" applyBorder="1" applyAlignment="1" applyProtection="1">
      <alignment horizontal="center" vertical="center" shrinkToFit="1"/>
    </xf>
    <xf numFmtId="1" fontId="40" fillId="18" borderId="74" xfId="0" applyNumberFormat="1" applyFont="1" applyFill="1" applyBorder="1" applyAlignment="1" applyProtection="1">
      <alignment horizontal="center" vertical="center" shrinkToFit="1"/>
    </xf>
    <xf numFmtId="1" fontId="40" fillId="18" borderId="75" xfId="0" applyNumberFormat="1" applyFont="1" applyFill="1" applyBorder="1" applyAlignment="1" applyProtection="1">
      <alignment horizontal="center" vertical="center" shrinkToFit="1"/>
    </xf>
    <xf numFmtId="1" fontId="40" fillId="18" borderId="73" xfId="0" applyNumberFormat="1" applyFont="1" applyFill="1" applyBorder="1" applyAlignment="1" applyProtection="1">
      <alignment horizontal="center" vertical="center" shrinkToFit="1"/>
    </xf>
    <xf numFmtId="0" fontId="40" fillId="18" borderId="74" xfId="0" applyFont="1" applyFill="1" applyBorder="1" applyAlignment="1" applyProtection="1">
      <alignment horizontal="center" vertical="center" shrinkToFit="1"/>
    </xf>
    <xf numFmtId="0" fontId="40" fillId="18" borderId="75" xfId="0" applyFont="1" applyFill="1" applyBorder="1" applyAlignment="1" applyProtection="1">
      <alignment horizontal="center" vertical="center" shrinkToFit="1"/>
    </xf>
    <xf numFmtId="0" fontId="40" fillId="18" borderId="73" xfId="0" applyFont="1" applyFill="1" applyBorder="1" applyAlignment="1" applyProtection="1">
      <alignment horizontal="center" vertical="center" shrinkToFit="1"/>
    </xf>
    <xf numFmtId="1" fontId="40" fillId="18" borderId="72" xfId="0" applyNumberFormat="1" applyFont="1" applyFill="1" applyBorder="1" applyAlignment="1" applyProtection="1">
      <alignment horizontal="center" vertical="center" shrinkToFit="1"/>
    </xf>
    <xf numFmtId="1" fontId="40" fillId="18" borderId="105" xfId="0" applyNumberFormat="1" applyFont="1" applyFill="1" applyBorder="1" applyAlignment="1" applyProtection="1">
      <alignment horizontal="center" vertical="center" shrinkToFit="1"/>
    </xf>
    <xf numFmtId="1" fontId="40" fillId="18" borderId="30" xfId="0" applyNumberFormat="1" applyFont="1" applyFill="1" applyBorder="1" applyAlignment="1" applyProtection="1">
      <alignment horizontal="center" vertical="center" shrinkToFit="1"/>
    </xf>
    <xf numFmtId="0" fontId="40" fillId="8" borderId="72" xfId="0" applyFont="1" applyFill="1" applyBorder="1" applyAlignment="1" applyProtection="1">
      <alignment horizontal="center" vertical="center" shrinkToFit="1"/>
    </xf>
    <xf numFmtId="0" fontId="40" fillId="8" borderId="75" xfId="0" applyFont="1" applyFill="1" applyBorder="1" applyAlignment="1" applyProtection="1">
      <alignment horizontal="center" vertical="center" shrinkToFit="1"/>
    </xf>
    <xf numFmtId="0" fontId="40" fillId="8" borderId="104" xfId="0" applyFont="1" applyFill="1" applyBorder="1" applyAlignment="1" applyProtection="1">
      <alignment horizontal="center" vertical="center" shrinkToFit="1"/>
    </xf>
    <xf numFmtId="0" fontId="37" fillId="8" borderId="72" xfId="0" applyFont="1" applyFill="1" applyBorder="1" applyAlignment="1" applyProtection="1">
      <alignment horizontal="center" vertical="center" shrinkToFit="1"/>
    </xf>
    <xf numFmtId="0" fontId="37" fillId="8" borderId="75" xfId="0" applyFont="1" applyFill="1" applyBorder="1" applyAlignment="1" applyProtection="1">
      <alignment horizontal="center" vertical="center" shrinkToFit="1"/>
    </xf>
    <xf numFmtId="0" fontId="39" fillId="8" borderId="73" xfId="0" applyFont="1" applyFill="1" applyBorder="1" applyAlignment="1" applyProtection="1">
      <alignment horizontal="center" vertical="center" shrinkToFit="1"/>
    </xf>
    <xf numFmtId="0" fontId="40" fillId="8" borderId="105" xfId="0" applyFont="1" applyFill="1" applyBorder="1" applyAlignment="1" applyProtection="1">
      <alignment horizontal="center" vertical="center" shrinkToFit="1"/>
    </xf>
    <xf numFmtId="0" fontId="40" fillId="8" borderId="74" xfId="0" applyFont="1" applyFill="1" applyBorder="1" applyAlignment="1" applyProtection="1">
      <alignment horizontal="center" vertical="center" shrinkToFit="1"/>
    </xf>
    <xf numFmtId="0" fontId="40" fillId="8" borderId="30" xfId="0" applyFont="1" applyFill="1" applyBorder="1" applyAlignment="1" applyProtection="1">
      <alignment horizontal="center" vertical="center" shrinkToFit="1"/>
    </xf>
    <xf numFmtId="0" fontId="39" fillId="8" borderId="75" xfId="0" applyFont="1" applyFill="1" applyBorder="1" applyAlignment="1" applyProtection="1">
      <alignment horizontal="center" vertical="center" shrinkToFit="1"/>
    </xf>
    <xf numFmtId="0" fontId="40" fillId="2" borderId="81" xfId="0" applyFont="1" applyFill="1" applyBorder="1" applyAlignment="1" applyProtection="1">
      <alignment horizontal="left" vertical="center" shrinkToFit="1"/>
    </xf>
    <xf numFmtId="0" fontId="0" fillId="0" borderId="0" xfId="0" applyProtection="1">
      <protection locked="0"/>
    </xf>
    <xf numFmtId="0" fontId="37" fillId="8" borderId="70" xfId="0" applyFont="1" applyFill="1" applyBorder="1" applyAlignment="1" applyProtection="1">
      <alignment horizontal="center" vertical="center" shrinkToFit="1"/>
    </xf>
    <xf numFmtId="0" fontId="37" fillId="8" borderId="83" xfId="0" applyFont="1" applyFill="1" applyBorder="1" applyAlignment="1" applyProtection="1">
      <alignment horizontal="center" vertical="center" shrinkToFit="1"/>
    </xf>
    <xf numFmtId="0" fontId="38" fillId="8" borderId="63" xfId="0" applyFont="1" applyFill="1" applyBorder="1" applyAlignment="1" applyProtection="1">
      <alignment horizontal="center" vertical="center" shrinkToFit="1"/>
    </xf>
    <xf numFmtId="1" fontId="42" fillId="18" borderId="57" xfId="0" applyNumberFormat="1" applyFont="1" applyFill="1" applyBorder="1" applyAlignment="1" applyProtection="1">
      <alignment horizontal="center" shrinkToFit="1"/>
    </xf>
    <xf numFmtId="1" fontId="40" fillId="2" borderId="102" xfId="0" applyNumberFormat="1" applyFont="1" applyFill="1" applyBorder="1" applyAlignment="1" applyProtection="1">
      <alignment horizontal="center" vertical="center" shrinkToFit="1"/>
    </xf>
    <xf numFmtId="0" fontId="40" fillId="18" borderId="57" xfId="0" applyFont="1" applyFill="1" applyBorder="1" applyAlignment="1" applyProtection="1">
      <alignment horizontal="center" vertical="center" shrinkToFit="1"/>
    </xf>
    <xf numFmtId="1" fontId="42" fillId="18" borderId="60" xfId="0" applyNumberFormat="1" applyFont="1" applyFill="1" applyBorder="1" applyAlignment="1" applyProtection="1">
      <alignment horizontal="center" shrinkToFit="1"/>
    </xf>
    <xf numFmtId="1" fontId="40" fillId="2" borderId="82" xfId="0" applyNumberFormat="1" applyFont="1" applyFill="1" applyBorder="1" applyAlignment="1" applyProtection="1">
      <alignment horizontal="center" vertical="center" shrinkToFit="1"/>
    </xf>
    <xf numFmtId="0" fontId="40" fillId="18" borderId="60" xfId="0" applyFont="1" applyFill="1" applyBorder="1" applyAlignment="1" applyProtection="1">
      <alignment horizontal="center" vertical="center" shrinkToFit="1"/>
    </xf>
    <xf numFmtId="1" fontId="42" fillId="18" borderId="62" xfId="0" applyNumberFormat="1" applyFont="1" applyFill="1" applyBorder="1" applyAlignment="1" applyProtection="1">
      <alignment horizontal="center" shrinkToFit="1"/>
    </xf>
    <xf numFmtId="1" fontId="40" fillId="2" borderId="103" xfId="0" applyNumberFormat="1" applyFont="1" applyFill="1" applyBorder="1" applyAlignment="1" applyProtection="1">
      <alignment horizontal="center" vertical="center" shrinkToFit="1"/>
    </xf>
    <xf numFmtId="1" fontId="40" fillId="2" borderId="83" xfId="0" applyNumberFormat="1" applyFont="1" applyFill="1" applyBorder="1" applyAlignment="1" applyProtection="1">
      <alignment horizontal="center" vertical="center" shrinkToFit="1"/>
    </xf>
    <xf numFmtId="0" fontId="40" fillId="18" borderId="62" xfId="0" applyFont="1" applyFill="1" applyBorder="1" applyAlignment="1" applyProtection="1">
      <alignment horizontal="center" vertical="center" shrinkToFit="1"/>
    </xf>
    <xf numFmtId="1" fontId="38" fillId="19" borderId="67" xfId="0" applyNumberFormat="1" applyFont="1" applyFill="1" applyBorder="1" applyAlignment="1" applyProtection="1">
      <alignment horizontal="center" vertical="center" shrinkToFit="1"/>
    </xf>
    <xf numFmtId="1" fontId="38" fillId="19" borderId="68" xfId="0" applyNumberFormat="1" applyFont="1" applyFill="1" applyBorder="1" applyAlignment="1" applyProtection="1">
      <alignment horizontal="center" vertical="center" shrinkToFit="1"/>
    </xf>
    <xf numFmtId="1" fontId="38" fillId="19" borderId="60" xfId="0" applyNumberFormat="1" applyFont="1" applyFill="1" applyBorder="1" applyAlignment="1" applyProtection="1">
      <alignment horizontal="center" vertical="center" shrinkToFit="1"/>
    </xf>
    <xf numFmtId="1" fontId="38" fillId="19" borderId="61" xfId="0" applyNumberFormat="1" applyFont="1" applyFill="1" applyBorder="1" applyAlignment="1" applyProtection="1">
      <alignment horizontal="center" vertical="center" shrinkToFit="1"/>
    </xf>
    <xf numFmtId="1" fontId="38" fillId="19" borderId="62" xfId="0" applyNumberFormat="1" applyFont="1" applyFill="1" applyBorder="1" applyAlignment="1" applyProtection="1">
      <alignment horizontal="center" vertical="center" shrinkToFit="1"/>
    </xf>
    <xf numFmtId="1" fontId="38" fillId="19" borderId="64" xfId="0" applyNumberFormat="1" applyFont="1" applyFill="1" applyBorder="1" applyAlignment="1" applyProtection="1">
      <alignment horizontal="center" vertical="center" shrinkToFit="1"/>
    </xf>
    <xf numFmtId="1" fontId="43" fillId="19" borderId="67" xfId="0" applyNumberFormat="1" applyFont="1" applyFill="1" applyBorder="1" applyAlignment="1" applyProtection="1">
      <alignment horizontal="center" vertical="center" shrinkToFit="1"/>
    </xf>
    <xf numFmtId="1" fontId="43" fillId="19" borderId="60" xfId="0" applyNumberFormat="1" applyFont="1" applyFill="1" applyBorder="1" applyAlignment="1" applyProtection="1">
      <alignment horizontal="center" vertical="center" shrinkToFit="1"/>
    </xf>
    <xf numFmtId="1" fontId="43" fillId="19" borderId="62" xfId="0" applyNumberFormat="1" applyFont="1" applyFill="1" applyBorder="1" applyAlignment="1" applyProtection="1">
      <alignment horizontal="center" vertical="center" shrinkToFit="1"/>
    </xf>
    <xf numFmtId="1" fontId="44" fillId="17" borderId="67" xfId="0" applyNumberFormat="1" applyFont="1" applyFill="1" applyBorder="1" applyAlignment="1" applyProtection="1">
      <alignment horizontal="center" vertical="center" shrinkToFit="1"/>
    </xf>
    <xf numFmtId="1" fontId="44" fillId="17" borderId="68" xfId="0" applyNumberFormat="1" applyFont="1" applyFill="1" applyBorder="1" applyAlignment="1" applyProtection="1">
      <alignment horizontal="center" vertical="center" shrinkToFit="1"/>
    </xf>
    <xf numFmtId="1" fontId="38" fillId="23" borderId="74" xfId="0" applyNumberFormat="1" applyFont="1" applyFill="1" applyBorder="1" applyAlignment="1" applyProtection="1">
      <alignment horizontal="center" vertical="center" shrinkToFit="1"/>
    </xf>
    <xf numFmtId="2" fontId="38" fillId="17" borderId="74" xfId="0" applyNumberFormat="1" applyFont="1" applyFill="1" applyBorder="1" applyAlignment="1" applyProtection="1">
      <alignment horizontal="center" vertical="center" shrinkToFit="1"/>
    </xf>
    <xf numFmtId="1" fontId="44" fillId="17" borderId="60" xfId="0" applyNumberFormat="1" applyFont="1" applyFill="1" applyBorder="1" applyAlignment="1" applyProtection="1">
      <alignment horizontal="center" vertical="center" shrinkToFit="1"/>
    </xf>
    <xf numFmtId="1" fontId="44" fillId="17" borderId="61" xfId="0" applyNumberFormat="1" applyFont="1" applyFill="1" applyBorder="1" applyAlignment="1" applyProtection="1">
      <alignment horizontal="center" vertical="center" shrinkToFit="1"/>
    </xf>
    <xf numFmtId="1" fontId="38" fillId="23" borderId="75" xfId="0" applyNumberFormat="1" applyFont="1" applyFill="1" applyBorder="1" applyAlignment="1" applyProtection="1">
      <alignment horizontal="center" vertical="center" shrinkToFit="1"/>
    </xf>
    <xf numFmtId="2" fontId="38" fillId="17" borderId="75" xfId="0" applyNumberFormat="1" applyFont="1" applyFill="1" applyBorder="1" applyAlignment="1" applyProtection="1">
      <alignment horizontal="center" vertical="center" shrinkToFit="1"/>
    </xf>
    <xf numFmtId="1" fontId="38" fillId="17" borderId="75" xfId="0" applyNumberFormat="1" applyFont="1" applyFill="1" applyBorder="1" applyAlignment="1" applyProtection="1">
      <alignment horizontal="center" vertical="center" shrinkToFit="1"/>
    </xf>
    <xf numFmtId="1" fontId="44" fillId="17" borderId="62" xfId="0" applyNumberFormat="1" applyFont="1" applyFill="1" applyBorder="1" applyAlignment="1" applyProtection="1">
      <alignment horizontal="center" vertical="center" shrinkToFit="1"/>
    </xf>
    <xf numFmtId="1" fontId="44" fillId="17" borderId="64" xfId="0" applyNumberFormat="1" applyFont="1" applyFill="1" applyBorder="1" applyAlignment="1" applyProtection="1">
      <alignment horizontal="center" vertical="center" shrinkToFit="1"/>
    </xf>
    <xf numFmtId="1" fontId="38" fillId="23" borderId="73" xfId="0" applyNumberFormat="1" applyFont="1" applyFill="1" applyBorder="1" applyAlignment="1" applyProtection="1">
      <alignment horizontal="center" vertical="center" shrinkToFit="1"/>
    </xf>
    <xf numFmtId="2" fontId="38" fillId="17" borderId="73" xfId="0" applyNumberFormat="1" applyFont="1" applyFill="1" applyBorder="1" applyAlignment="1" applyProtection="1">
      <alignment horizontal="center" vertical="center" shrinkToFit="1"/>
    </xf>
    <xf numFmtId="1" fontId="45" fillId="19" borderId="52" xfId="0" applyNumberFormat="1" applyFont="1" applyFill="1" applyBorder="1" applyAlignment="1" applyProtection="1">
      <alignment horizontal="center" vertical="center" shrinkToFit="1"/>
    </xf>
    <xf numFmtId="0" fontId="45" fillId="19" borderId="68" xfId="0" applyFont="1" applyFill="1" applyBorder="1" applyAlignment="1" applyProtection="1">
      <alignment horizontal="center" vertical="center" shrinkToFit="1"/>
    </xf>
    <xf numFmtId="1" fontId="45" fillId="19" borderId="51" xfId="0" applyNumberFormat="1" applyFont="1" applyFill="1" applyBorder="1" applyAlignment="1" applyProtection="1">
      <alignment horizontal="center" vertical="center" shrinkToFit="1"/>
    </xf>
    <xf numFmtId="0" fontId="45" fillId="19" borderId="61" xfId="0" applyFont="1" applyFill="1" applyBorder="1" applyAlignment="1" applyProtection="1">
      <alignment horizontal="center" vertical="center" shrinkToFit="1"/>
    </xf>
    <xf numFmtId="1" fontId="45" fillId="19" borderId="63" xfId="0" applyNumberFormat="1" applyFont="1" applyFill="1" applyBorder="1" applyAlignment="1" applyProtection="1">
      <alignment horizontal="center" vertical="center" shrinkToFit="1"/>
    </xf>
    <xf numFmtId="0" fontId="45" fillId="19" borderId="64" xfId="0" applyFont="1" applyFill="1" applyBorder="1" applyAlignment="1" applyProtection="1">
      <alignment horizontal="center" vertical="center" shrinkToFit="1"/>
    </xf>
    <xf numFmtId="1" fontId="40" fillId="19" borderId="68" xfId="0" applyNumberFormat="1" applyFont="1" applyFill="1" applyBorder="1" applyAlignment="1" applyProtection="1">
      <alignment horizontal="center" vertical="center" shrinkToFit="1"/>
    </xf>
    <xf numFmtId="1" fontId="40" fillId="19" borderId="61" xfId="0" applyNumberFormat="1" applyFont="1" applyFill="1" applyBorder="1" applyAlignment="1" applyProtection="1">
      <alignment horizontal="center" vertical="center" shrinkToFit="1"/>
    </xf>
    <xf numFmtId="1" fontId="40" fillId="19" borderId="64" xfId="0" applyNumberFormat="1" applyFont="1" applyFill="1" applyBorder="1" applyAlignment="1" applyProtection="1">
      <alignment horizontal="center" vertical="center" shrinkToFit="1"/>
    </xf>
    <xf numFmtId="0" fontId="40" fillId="19" borderId="68" xfId="0" applyFont="1" applyFill="1" applyBorder="1" applyAlignment="1" applyProtection="1">
      <alignment horizontal="center" vertical="center" shrinkToFit="1"/>
    </xf>
    <xf numFmtId="0" fontId="40" fillId="19" borderId="57" xfId="0" applyFont="1" applyFill="1" applyBorder="1" applyAlignment="1" applyProtection="1">
      <alignment horizontal="center" vertical="center" shrinkToFit="1"/>
    </xf>
    <xf numFmtId="1" fontId="40" fillId="19" borderId="59" xfId="0" applyNumberFormat="1" applyFont="1" applyFill="1" applyBorder="1" applyAlignment="1" applyProtection="1">
      <alignment horizontal="center" vertical="center" shrinkToFit="1"/>
    </xf>
    <xf numFmtId="0" fontId="40" fillId="19" borderId="61" xfId="0" applyFont="1" applyFill="1" applyBorder="1" applyAlignment="1" applyProtection="1">
      <alignment horizontal="center" vertical="center" shrinkToFit="1"/>
    </xf>
    <xf numFmtId="0" fontId="40" fillId="19" borderId="60" xfId="0" applyFont="1" applyFill="1" applyBorder="1" applyAlignment="1" applyProtection="1">
      <alignment horizontal="center" vertical="center" shrinkToFit="1"/>
    </xf>
    <xf numFmtId="0" fontId="40" fillId="19" borderId="64" xfId="0" applyFont="1" applyFill="1" applyBorder="1" applyAlignment="1" applyProtection="1">
      <alignment horizontal="center" vertical="center" shrinkToFit="1"/>
    </xf>
    <xf numFmtId="0" fontId="40" fillId="19" borderId="62" xfId="0" applyFont="1" applyFill="1" applyBorder="1" applyAlignment="1" applyProtection="1">
      <alignment horizontal="center" vertical="center" shrinkToFit="1"/>
    </xf>
    <xf numFmtId="0" fontId="40" fillId="2" borderId="69" xfId="0" applyFont="1" applyFill="1" applyBorder="1" applyAlignment="1" applyProtection="1">
      <alignment horizontal="center" vertical="center" shrinkToFit="1"/>
      <protection locked="0"/>
    </xf>
    <xf numFmtId="0" fontId="40" fillId="2" borderId="61" xfId="0" applyFont="1" applyFill="1" applyBorder="1" applyAlignment="1" applyProtection="1">
      <alignment vertical="center" shrinkToFit="1"/>
      <protection locked="0"/>
    </xf>
    <xf numFmtId="0" fontId="42" fillId="20" borderId="23" xfId="0" applyFont="1" applyFill="1" applyBorder="1" applyAlignment="1">
      <alignment horizontal="center" vertical="center" shrinkToFit="1"/>
    </xf>
    <xf numFmtId="2" fontId="42" fillId="20" borderId="17" xfId="0" applyNumberFormat="1" applyFont="1" applyFill="1" applyBorder="1" applyAlignment="1">
      <alignment shrinkToFit="1"/>
    </xf>
    <xf numFmtId="0" fontId="42" fillId="20" borderId="9" xfId="0" applyFont="1" applyFill="1" applyBorder="1" applyAlignment="1">
      <alignment horizontal="center" vertical="center" shrinkToFit="1"/>
    </xf>
    <xf numFmtId="0" fontId="42" fillId="2" borderId="3" xfId="0" applyFont="1" applyFill="1" applyBorder="1" applyAlignment="1">
      <alignment horizontal="center" vertical="center" shrinkToFit="1"/>
    </xf>
    <xf numFmtId="0" fontId="42" fillId="20" borderId="12" xfId="0" applyFont="1" applyFill="1" applyBorder="1" applyAlignment="1">
      <alignment horizontal="center" vertical="center" shrinkToFit="1"/>
    </xf>
    <xf numFmtId="1" fontId="42" fillId="20" borderId="89" xfId="0" applyNumberFormat="1" applyFont="1" applyFill="1" applyBorder="1" applyAlignment="1" applyProtection="1">
      <alignment horizontal="center" shrinkToFit="1"/>
      <protection locked="0"/>
    </xf>
    <xf numFmtId="1" fontId="42" fillId="20" borderId="9" xfId="0" applyNumberFormat="1" applyFont="1" applyFill="1" applyBorder="1" applyAlignment="1" applyProtection="1">
      <alignment horizontal="center" shrinkToFit="1"/>
      <protection locked="0"/>
    </xf>
    <xf numFmtId="1" fontId="42" fillId="20" borderId="12" xfId="0" applyNumberFormat="1" applyFont="1" applyFill="1" applyBorder="1" applyAlignment="1" applyProtection="1">
      <alignment horizontal="center" shrinkToFit="1"/>
      <protection locked="0"/>
    </xf>
    <xf numFmtId="0" fontId="42" fillId="0" borderId="107" xfId="0" applyFont="1" applyBorder="1" applyAlignment="1" applyProtection="1">
      <alignment shrinkToFit="1"/>
      <protection locked="0"/>
    </xf>
    <xf numFmtId="0" fontId="42" fillId="0" borderId="97" xfId="0" applyFont="1" applyBorder="1" applyAlignment="1" applyProtection="1">
      <alignment shrinkToFit="1"/>
      <protection locked="0"/>
    </xf>
    <xf numFmtId="0" fontId="42" fillId="0" borderId="110" xfId="0" applyFont="1" applyBorder="1" applyAlignment="1" applyProtection="1">
      <alignment shrinkToFit="1"/>
      <protection locked="0"/>
    </xf>
    <xf numFmtId="0" fontId="42" fillId="0" borderId="96" xfId="0" applyFont="1" applyBorder="1" applyAlignment="1" applyProtection="1">
      <alignment shrinkToFit="1"/>
      <protection locked="0"/>
    </xf>
    <xf numFmtId="0" fontId="42" fillId="0" borderId="98" xfId="0" applyFont="1" applyBorder="1" applyAlignment="1" applyProtection="1">
      <alignment shrinkToFit="1"/>
      <protection locked="0"/>
    </xf>
    <xf numFmtId="0" fontId="42" fillId="0" borderId="108" xfId="0" applyFont="1" applyBorder="1" applyAlignment="1" applyProtection="1">
      <alignment shrinkToFit="1"/>
      <protection locked="0"/>
    </xf>
    <xf numFmtId="0" fontId="42" fillId="0" borderId="94" xfId="0" applyFont="1" applyBorder="1" applyAlignment="1" applyProtection="1">
      <alignment shrinkToFit="1"/>
      <protection locked="0"/>
    </xf>
    <xf numFmtId="0" fontId="42" fillId="0" borderId="111" xfId="0" applyFont="1" applyBorder="1" applyAlignment="1" applyProtection="1">
      <alignment shrinkToFit="1"/>
      <protection locked="0"/>
    </xf>
    <xf numFmtId="0" fontId="42" fillId="0" borderId="93" xfId="0" applyFont="1" applyBorder="1" applyAlignment="1" applyProtection="1">
      <alignment shrinkToFit="1"/>
      <protection locked="0"/>
    </xf>
    <xf numFmtId="0" fontId="42" fillId="0" borderId="95" xfId="0" applyFont="1" applyBorder="1" applyAlignment="1" applyProtection="1">
      <alignment shrinkToFit="1"/>
      <protection locked="0"/>
    </xf>
    <xf numFmtId="1" fontId="42" fillId="19" borderId="89" xfId="0" applyNumberFormat="1" applyFont="1" applyFill="1" applyBorder="1" applyAlignment="1" applyProtection="1">
      <alignment horizontal="center" shrinkToFit="1"/>
    </xf>
    <xf numFmtId="1" fontId="42" fillId="19" borderId="9" xfId="0" applyNumberFormat="1" applyFont="1" applyFill="1" applyBorder="1" applyAlignment="1" applyProtection="1">
      <alignment horizontal="center" shrinkToFit="1"/>
    </xf>
    <xf numFmtId="1" fontId="42" fillId="19" borderId="12" xfId="0" applyNumberFormat="1" applyFont="1" applyFill="1" applyBorder="1" applyAlignment="1" applyProtection="1">
      <alignment horizontal="center" shrinkToFit="1"/>
    </xf>
    <xf numFmtId="0" fontId="0" fillId="0" borderId="37" xfId="0" applyFont="1" applyFill="1" applyBorder="1" applyProtection="1">
      <protection locked="0"/>
    </xf>
    <xf numFmtId="0" fontId="42" fillId="0" borderId="0" xfId="0" applyFont="1" applyProtection="1"/>
    <xf numFmtId="1" fontId="42" fillId="0" borderId="0" xfId="0" applyNumberFormat="1" applyFont="1" applyProtection="1"/>
    <xf numFmtId="0" fontId="66" fillId="0" borderId="0" xfId="0" applyFont="1" applyBorder="1" applyAlignment="1" applyProtection="1">
      <alignment horizontal="left"/>
    </xf>
    <xf numFmtId="0" fontId="48" fillId="12" borderId="57" xfId="0" applyFont="1" applyFill="1" applyBorder="1" applyAlignment="1" applyProtection="1">
      <alignment horizontal="center" vertical="center" shrinkToFit="1"/>
    </xf>
    <xf numFmtId="0" fontId="70" fillId="0" borderId="0" xfId="0" applyFont="1"/>
    <xf numFmtId="0" fontId="70" fillId="20" borderId="0" xfId="0" applyFont="1" applyFill="1"/>
    <xf numFmtId="0" fontId="70" fillId="24" borderId="0" xfId="0" applyFont="1" applyFill="1"/>
    <xf numFmtId="0" fontId="66" fillId="0" borderId="87" xfId="0" applyFont="1" applyBorder="1" applyAlignment="1" applyProtection="1"/>
    <xf numFmtId="0" fontId="66" fillId="0" borderId="34" xfId="0" applyFont="1" applyBorder="1" applyAlignment="1" applyProtection="1">
      <alignment horizontal="left"/>
    </xf>
    <xf numFmtId="0" fontId="42" fillId="0" borderId="87" xfId="0" applyFont="1" applyBorder="1" applyAlignment="1" applyProtection="1"/>
    <xf numFmtId="0" fontId="42" fillId="0" borderId="49" xfId="0" applyFont="1" applyBorder="1" applyAlignment="1" applyProtection="1"/>
    <xf numFmtId="0" fontId="52" fillId="12" borderId="88" xfId="0" applyFont="1" applyFill="1" applyBorder="1" applyAlignment="1">
      <alignment horizontal="center" vertical="center"/>
    </xf>
    <xf numFmtId="0" fontId="40" fillId="19" borderId="0" xfId="0" applyFont="1" applyFill="1" applyBorder="1" applyAlignment="1">
      <alignment horizontal="center" vertical="center"/>
    </xf>
    <xf numFmtId="187" fontId="40" fillId="19" borderId="0" xfId="0" applyNumberFormat="1" applyFont="1" applyFill="1" applyBorder="1" applyAlignment="1">
      <alignment horizontal="center" vertical="center"/>
    </xf>
    <xf numFmtId="0" fontId="39" fillId="19" borderId="88" xfId="0" applyFont="1" applyFill="1" applyBorder="1" applyAlignment="1">
      <alignment horizontal="center" vertical="center"/>
    </xf>
    <xf numFmtId="1" fontId="42" fillId="19" borderId="88" xfId="0" applyNumberFormat="1" applyFont="1" applyFill="1" applyBorder="1" applyAlignment="1" applyProtection="1">
      <alignment horizontal="center"/>
      <protection locked="0"/>
    </xf>
    <xf numFmtId="1" fontId="49" fillId="19" borderId="0" xfId="0" applyNumberFormat="1" applyFont="1" applyFill="1" applyBorder="1" applyAlignment="1">
      <alignment horizontal="center"/>
    </xf>
    <xf numFmtId="0" fontId="52" fillId="19" borderId="88" xfId="0" applyFont="1" applyFill="1" applyBorder="1" applyAlignment="1">
      <alignment horizontal="left" vertical="center"/>
    </xf>
    <xf numFmtId="0" fontId="49" fillId="19" borderId="0" xfId="0" applyFont="1" applyFill="1" applyAlignment="1">
      <alignment horizontal="center"/>
    </xf>
    <xf numFmtId="0" fontId="40" fillId="19" borderId="0" xfId="0" applyFont="1" applyFill="1" applyBorder="1" applyAlignment="1">
      <alignment vertical="center"/>
    </xf>
    <xf numFmtId="0" fontId="52" fillId="19" borderId="88" xfId="0" applyFont="1" applyFill="1" applyBorder="1" applyAlignment="1">
      <alignment vertical="center"/>
    </xf>
    <xf numFmtId="2" fontId="42" fillId="19" borderId="88" xfId="0" applyNumberFormat="1" applyFont="1" applyFill="1" applyBorder="1" applyAlignment="1" applyProtection="1">
      <alignment horizontal="center"/>
      <protection locked="0"/>
    </xf>
    <xf numFmtId="2" fontId="54" fillId="19" borderId="0" xfId="0" applyNumberFormat="1" applyFont="1" applyFill="1" applyBorder="1" applyAlignment="1" applyProtection="1">
      <alignment vertical="center"/>
      <protection locked="0"/>
    </xf>
    <xf numFmtId="0" fontId="72" fillId="0" borderId="0" xfId="0" applyFont="1" applyFill="1" applyAlignment="1"/>
    <xf numFmtId="189" fontId="42" fillId="2" borderId="51" xfId="0" applyNumberFormat="1" applyFont="1" applyFill="1" applyBorder="1" applyAlignment="1" applyProtection="1">
      <alignment horizontal="center" shrinkToFit="1"/>
      <protection locked="0"/>
    </xf>
    <xf numFmtId="189" fontId="42" fillId="2" borderId="63" xfId="0" applyNumberFormat="1" applyFont="1" applyFill="1" applyBorder="1" applyAlignment="1" applyProtection="1">
      <alignment horizontal="center" shrinkToFit="1"/>
      <protection locked="0"/>
    </xf>
    <xf numFmtId="189" fontId="42" fillId="19" borderId="90" xfId="0" applyNumberFormat="1" applyFont="1" applyFill="1" applyBorder="1" applyAlignment="1" applyProtection="1">
      <alignment horizontal="center" shrinkToFit="1"/>
    </xf>
    <xf numFmtId="189" fontId="42" fillId="19" borderId="25" xfId="0" applyNumberFormat="1" applyFont="1" applyFill="1" applyBorder="1" applyAlignment="1" applyProtection="1">
      <alignment horizontal="center" shrinkToFit="1"/>
    </xf>
    <xf numFmtId="189" fontId="42" fillId="19" borderId="22" xfId="0" applyNumberFormat="1" applyFont="1" applyFill="1" applyBorder="1" applyAlignment="1" applyProtection="1">
      <alignment horizontal="center" shrinkToFit="1"/>
    </xf>
    <xf numFmtId="0" fontId="42" fillId="12" borderId="88" xfId="0" applyFont="1" applyFill="1" applyBorder="1" applyAlignment="1" applyProtection="1">
      <alignment horizontal="center"/>
      <protection locked="0"/>
    </xf>
    <xf numFmtId="0" fontId="42" fillId="20" borderId="19" xfId="0" applyFont="1" applyFill="1" applyBorder="1" applyAlignment="1">
      <alignment horizontal="center" vertical="center" shrinkToFit="1"/>
    </xf>
    <xf numFmtId="1" fontId="40" fillId="19" borderId="52" xfId="0" applyNumberFormat="1" applyFont="1" applyFill="1" applyBorder="1" applyAlignment="1" applyProtection="1">
      <alignment horizontal="center" vertical="center" shrinkToFit="1"/>
      <protection locked="0"/>
    </xf>
    <xf numFmtId="1" fontId="40" fillId="19" borderId="51" xfId="0" applyNumberFormat="1" applyFont="1" applyFill="1" applyBorder="1" applyAlignment="1" applyProtection="1">
      <alignment horizontal="center" vertical="center" shrinkToFit="1"/>
      <protection locked="0"/>
    </xf>
    <xf numFmtId="1" fontId="40" fillId="19" borderId="63" xfId="0" applyNumberFormat="1" applyFont="1" applyFill="1" applyBorder="1" applyAlignment="1" applyProtection="1">
      <alignment horizontal="center" vertical="center" shrinkToFit="1"/>
      <protection locked="0"/>
    </xf>
    <xf numFmtId="0" fontId="50" fillId="20" borderId="0" xfId="0" applyFont="1" applyFill="1" applyAlignment="1" applyProtection="1">
      <alignment horizontal="center" vertical="center"/>
    </xf>
    <xf numFmtId="0" fontId="42" fillId="12" borderId="92" xfId="0" applyFont="1" applyFill="1" applyBorder="1" applyAlignment="1">
      <alignment shrinkToFit="1"/>
    </xf>
    <xf numFmtId="0" fontId="42" fillId="12" borderId="46" xfId="0" applyFont="1" applyFill="1" applyBorder="1" applyAlignment="1">
      <alignment horizontal="center" vertical="center" shrinkToFit="1"/>
    </xf>
    <xf numFmtId="0" fontId="42" fillId="12" borderId="25" xfId="0" applyFont="1" applyFill="1" applyBorder="1" applyAlignment="1">
      <alignment shrinkToFit="1"/>
    </xf>
    <xf numFmtId="0" fontId="42" fillId="12" borderId="87" xfId="0" applyFont="1" applyFill="1" applyBorder="1" applyAlignment="1">
      <alignment horizontal="center" vertical="center" shrinkToFit="1"/>
    </xf>
    <xf numFmtId="0" fontId="42" fillId="25" borderId="120" xfId="0" applyFont="1" applyFill="1" applyBorder="1" applyAlignment="1">
      <alignment horizontal="center" vertical="center" shrinkToFit="1"/>
    </xf>
    <xf numFmtId="0" fontId="42" fillId="25" borderId="121" xfId="0" applyFont="1" applyFill="1" applyBorder="1" applyAlignment="1">
      <alignment horizontal="center" vertical="center" shrinkToFit="1"/>
    </xf>
    <xf numFmtId="0" fontId="42" fillId="25" borderId="122" xfId="0" applyFont="1" applyFill="1" applyBorder="1" applyAlignment="1">
      <alignment horizontal="center" vertical="center" shrinkToFit="1"/>
    </xf>
    <xf numFmtId="190" fontId="42" fillId="7" borderId="2" xfId="0" applyNumberFormat="1" applyFont="1" applyFill="1" applyBorder="1" applyAlignment="1" applyProtection="1">
      <alignment horizontal="right" vertical="center" textRotation="90" shrinkToFit="1"/>
      <protection locked="0" hidden="1"/>
    </xf>
    <xf numFmtId="190" fontId="42" fillId="17" borderId="3" xfId="0" applyNumberFormat="1" applyFont="1" applyFill="1" applyBorder="1" applyAlignment="1" applyProtection="1">
      <alignment horizontal="right" vertical="center" textRotation="90" shrinkToFit="1"/>
      <protection hidden="1"/>
    </xf>
    <xf numFmtId="190" fontId="42" fillId="17" borderId="4" xfId="0" applyNumberFormat="1" applyFont="1" applyFill="1" applyBorder="1" applyAlignment="1" applyProtection="1">
      <alignment horizontal="right" vertical="center" textRotation="90" shrinkToFit="1"/>
      <protection hidden="1"/>
    </xf>
    <xf numFmtId="190" fontId="42" fillId="17" borderId="118" xfId="0" applyNumberFormat="1" applyFont="1" applyFill="1" applyBorder="1" applyAlignment="1" applyProtection="1">
      <alignment horizontal="right" vertical="center" textRotation="90" shrinkToFit="1"/>
      <protection hidden="1"/>
    </xf>
    <xf numFmtId="190" fontId="42" fillId="17" borderId="119" xfId="0" applyNumberFormat="1" applyFont="1" applyFill="1" applyBorder="1" applyAlignment="1" applyProtection="1">
      <alignment horizontal="right" vertical="center" textRotation="90" shrinkToFit="1"/>
      <protection hidden="1"/>
    </xf>
    <xf numFmtId="190" fontId="42" fillId="17" borderId="2" xfId="0" applyNumberFormat="1" applyFont="1" applyFill="1" applyBorder="1" applyAlignment="1" applyProtection="1">
      <alignment horizontal="right" vertical="center" textRotation="90" shrinkToFit="1"/>
      <protection hidden="1"/>
    </xf>
    <xf numFmtId="0" fontId="42" fillId="12" borderId="22" xfId="0" applyFont="1" applyFill="1" applyBorder="1" applyAlignment="1">
      <alignment shrinkToFit="1"/>
    </xf>
    <xf numFmtId="0" fontId="42" fillId="12" borderId="49" xfId="0" applyFont="1" applyFill="1" applyBorder="1" applyAlignment="1">
      <alignment horizontal="center" vertical="center" shrinkToFit="1"/>
    </xf>
    <xf numFmtId="0" fontId="42" fillId="8" borderId="20" xfId="0" applyFont="1" applyFill="1" applyBorder="1" applyAlignment="1" applyProtection="1">
      <alignment horizontal="center" vertical="center" shrinkToFit="1"/>
      <protection locked="0"/>
    </xf>
    <xf numFmtId="0" fontId="42" fillId="8" borderId="45" xfId="0" applyFont="1" applyFill="1" applyBorder="1" applyAlignment="1" applyProtection="1">
      <alignment horizontal="center" vertical="center" shrinkToFit="1"/>
      <protection locked="0"/>
    </xf>
    <xf numFmtId="0" fontId="42" fillId="8" borderId="21" xfId="0" applyFont="1" applyFill="1" applyBorder="1" applyAlignment="1" applyProtection="1">
      <alignment horizontal="center" vertical="center" shrinkToFit="1"/>
      <protection locked="0"/>
    </xf>
    <xf numFmtId="0" fontId="42" fillId="12" borderId="41" xfId="0" applyFont="1" applyFill="1" applyBorder="1" applyAlignment="1">
      <alignment horizontal="center" vertical="center" shrinkToFit="1"/>
    </xf>
    <xf numFmtId="0" fontId="42" fillId="25" borderId="38" xfId="0" applyFont="1" applyFill="1" applyBorder="1" applyAlignment="1">
      <alignment horizontal="center" vertical="center" shrinkToFit="1"/>
    </xf>
    <xf numFmtId="0" fontId="42" fillId="25" borderId="39" xfId="0" applyFont="1" applyFill="1" applyBorder="1" applyAlignment="1">
      <alignment horizontal="center" vertical="center" shrinkToFit="1"/>
    </xf>
    <xf numFmtId="0" fontId="42" fillId="25" borderId="40" xfId="0" applyFont="1" applyFill="1" applyBorder="1" applyAlignment="1">
      <alignment horizontal="center" vertical="center" shrinkToFit="1"/>
    </xf>
    <xf numFmtId="0" fontId="42" fillId="25" borderId="123" xfId="0" applyFont="1" applyFill="1" applyBorder="1" applyAlignment="1">
      <alignment horizontal="center" vertical="center" shrinkToFit="1"/>
    </xf>
    <xf numFmtId="0" fontId="42" fillId="25" borderId="26" xfId="0" applyFont="1" applyFill="1" applyBorder="1" applyAlignment="1">
      <alignment horizontal="center" vertical="center" shrinkToFit="1"/>
    </xf>
    <xf numFmtId="0" fontId="70" fillId="27" borderId="0" xfId="0" applyFont="1" applyFill="1"/>
    <xf numFmtId="59" fontId="70" fillId="27" borderId="0" xfId="0" applyNumberFormat="1" applyFont="1" applyFill="1"/>
    <xf numFmtId="59" fontId="42" fillId="0" borderId="0" xfId="0" applyNumberFormat="1" applyFont="1" applyAlignment="1" applyProtection="1">
      <alignment horizontal="center" vertical="center"/>
    </xf>
    <xf numFmtId="0" fontId="0" fillId="28" borderId="0" xfId="0" applyFill="1" applyProtection="1"/>
    <xf numFmtId="0" fontId="22" fillId="28" borderId="0" xfId="0" applyFont="1" applyFill="1" applyAlignment="1" applyProtection="1">
      <alignment horizontal="center" vertical="center"/>
    </xf>
    <xf numFmtId="0" fontId="22" fillId="28" borderId="0" xfId="0" applyFont="1" applyFill="1" applyProtection="1"/>
    <xf numFmtId="0" fontId="16" fillId="28" borderId="0" xfId="0" applyFont="1" applyFill="1" applyAlignment="1" applyProtection="1">
      <alignment vertical="center"/>
    </xf>
    <xf numFmtId="0" fontId="16" fillId="28" borderId="0" xfId="0" applyFont="1" applyFill="1" applyAlignment="1" applyProtection="1">
      <alignment horizontal="left" vertical="center"/>
    </xf>
    <xf numFmtId="0" fontId="17" fillId="28" borderId="0" xfId="0" applyFont="1" applyFill="1" applyAlignment="1" applyProtection="1">
      <alignment horizontal="center" vertical="center"/>
    </xf>
    <xf numFmtId="0" fontId="68" fillId="12" borderId="0" xfId="0" applyFont="1" applyFill="1" applyBorder="1" applyProtection="1"/>
    <xf numFmtId="0" fontId="39" fillId="12" borderId="0" xfId="0" applyFont="1" applyFill="1" applyBorder="1" applyProtection="1"/>
    <xf numFmtId="0" fontId="39" fillId="29" borderId="0" xfId="0" applyFont="1" applyFill="1" applyBorder="1" applyProtection="1">
      <protection locked="0"/>
    </xf>
    <xf numFmtId="0" fontId="39" fillId="8" borderId="0" xfId="0" applyFont="1" applyFill="1" applyBorder="1" applyProtection="1">
      <protection locked="0"/>
    </xf>
    <xf numFmtId="0" fontId="39" fillId="8" borderId="0" xfId="0" applyFont="1" applyFill="1" applyBorder="1" applyAlignment="1" applyProtection="1">
      <alignment horizontal="left"/>
      <protection locked="0"/>
    </xf>
    <xf numFmtId="0" fontId="48" fillId="8" borderId="0" xfId="0" applyFont="1" applyFill="1" applyAlignment="1" applyProtection="1">
      <alignment horizontal="center" vertical="center"/>
    </xf>
    <xf numFmtId="189" fontId="45" fillId="2" borderId="58" xfId="0" applyNumberFormat="1" applyFont="1" applyFill="1" applyBorder="1" applyAlignment="1" applyProtection="1">
      <alignment horizontal="center" shrinkToFit="1"/>
      <protection locked="0"/>
    </xf>
    <xf numFmtId="1" fontId="45" fillId="2" borderId="59" xfId="0" applyNumberFormat="1" applyFont="1" applyFill="1" applyBorder="1" applyAlignment="1" applyProtection="1">
      <alignment vertical="center" shrinkToFit="1"/>
      <protection locked="0"/>
    </xf>
    <xf numFmtId="189" fontId="45" fillId="2" borderId="51" xfId="0" applyNumberFormat="1" applyFont="1" applyFill="1" applyBorder="1" applyAlignment="1" applyProtection="1">
      <alignment horizontal="center" shrinkToFit="1"/>
      <protection locked="0"/>
    </xf>
    <xf numFmtId="1" fontId="45" fillId="2" borderId="61" xfId="0" applyNumberFormat="1" applyFont="1" applyFill="1" applyBorder="1" applyAlignment="1" applyProtection="1">
      <alignment vertical="center" shrinkToFit="1"/>
      <protection locked="0"/>
    </xf>
    <xf numFmtId="0" fontId="40" fillId="0" borderId="37" xfId="0" applyFont="1" applyBorder="1" applyAlignment="1" applyProtection="1">
      <alignment horizontal="center"/>
      <protection locked="0"/>
    </xf>
    <xf numFmtId="0" fontId="40" fillId="0" borderId="17" xfId="0" applyFont="1" applyBorder="1" applyAlignment="1" applyProtection="1">
      <alignment horizontal="center"/>
      <protection locked="0"/>
    </xf>
    <xf numFmtId="0" fontId="40" fillId="0" borderId="25" xfId="0" applyFont="1" applyBorder="1" applyAlignment="1" applyProtection="1">
      <alignment horizontal="center"/>
      <protection locked="0"/>
    </xf>
    <xf numFmtId="0" fontId="45" fillId="0" borderId="0" xfId="0" applyFont="1" applyAlignment="1" applyProtection="1">
      <alignment vertical="center" shrinkToFit="1"/>
      <protection locked="0"/>
    </xf>
    <xf numFmtId="0" fontId="40" fillId="2" borderId="58" xfId="0" applyFont="1" applyFill="1" applyBorder="1" applyAlignment="1" applyProtection="1">
      <alignment horizontal="left" vertical="center" shrinkToFit="1"/>
      <protection locked="0"/>
    </xf>
    <xf numFmtId="59" fontId="42" fillId="8" borderId="45" xfId="0" applyNumberFormat="1" applyFont="1" applyFill="1" applyBorder="1" applyAlignment="1" applyProtection="1">
      <alignment horizontal="center" vertical="center" shrinkToFit="1"/>
      <protection locked="0"/>
    </xf>
    <xf numFmtId="59" fontId="42" fillId="8" borderId="21" xfId="0" applyNumberFormat="1" applyFont="1" applyFill="1" applyBorder="1" applyAlignment="1" applyProtection="1">
      <alignment horizontal="center" vertical="center" shrinkToFit="1"/>
      <protection locked="0"/>
    </xf>
    <xf numFmtId="59" fontId="42" fillId="8" borderId="20" xfId="0" applyNumberFormat="1" applyFont="1" applyFill="1" applyBorder="1" applyAlignment="1" applyProtection="1">
      <alignment horizontal="center" vertical="center" shrinkToFit="1"/>
      <protection locked="0"/>
    </xf>
    <xf numFmtId="59" fontId="59" fillId="19" borderId="0" xfId="0" applyNumberFormat="1" applyFont="1" applyFill="1" applyAlignment="1" applyProtection="1">
      <alignment horizontal="center" vertical="center"/>
      <protection locked="0"/>
    </xf>
    <xf numFmtId="59" fontId="59" fillId="21" borderId="0" xfId="0" applyNumberFormat="1" applyFont="1" applyFill="1" applyAlignment="1" applyProtection="1">
      <alignment horizontal="center" vertical="center"/>
      <protection locked="0"/>
    </xf>
    <xf numFmtId="49" fontId="65" fillId="29" borderId="0" xfId="0" applyNumberFormat="1" applyFont="1" applyFill="1" applyBorder="1" applyAlignment="1" applyProtection="1">
      <alignment horizontal="left"/>
      <protection locked="0"/>
    </xf>
    <xf numFmtId="0" fontId="39" fillId="15" borderId="0" xfId="0" applyFont="1" applyFill="1" applyBorder="1" applyProtection="1">
      <protection locked="0"/>
    </xf>
    <xf numFmtId="0" fontId="39" fillId="5" borderId="0" xfId="0" applyFont="1" applyFill="1" applyBorder="1" applyProtection="1">
      <protection locked="0"/>
    </xf>
    <xf numFmtId="0" fontId="39" fillId="30" borderId="0" xfId="0" applyFont="1" applyFill="1" applyBorder="1" applyProtection="1">
      <protection locked="0"/>
    </xf>
    <xf numFmtId="0" fontId="39" fillId="31" borderId="0" xfId="0" applyFont="1" applyFill="1" applyBorder="1" applyProtection="1">
      <protection locked="0"/>
    </xf>
    <xf numFmtId="0" fontId="71" fillId="12" borderId="0" xfId="0" applyFont="1" applyFill="1" applyAlignment="1">
      <alignment horizontal="center" vertical="center"/>
    </xf>
    <xf numFmtId="0" fontId="74" fillId="26" borderId="0" xfId="0" applyFont="1" applyFill="1" applyAlignment="1">
      <alignment horizontal="center" vertical="center"/>
    </xf>
    <xf numFmtId="0" fontId="75" fillId="26" borderId="0" xfId="0" applyFont="1" applyFill="1" applyAlignment="1">
      <alignment horizontal="center" vertical="center"/>
    </xf>
    <xf numFmtId="0" fontId="67" fillId="0" borderId="0" xfId="2" applyFont="1" applyBorder="1" applyAlignment="1" applyProtection="1">
      <alignment horizontal="right"/>
    </xf>
    <xf numFmtId="0" fontId="42" fillId="0" borderId="0" xfId="0" applyFont="1" applyBorder="1" applyAlignment="1" applyProtection="1">
      <alignment horizontal="right"/>
    </xf>
    <xf numFmtId="0" fontId="42" fillId="0" borderId="34" xfId="0" applyFont="1" applyBorder="1" applyAlignment="1" applyProtection="1">
      <alignment horizontal="right"/>
    </xf>
    <xf numFmtId="0" fontId="42" fillId="0" borderId="0" xfId="0" applyFont="1" applyBorder="1" applyAlignment="1" applyProtection="1">
      <alignment horizontal="left"/>
    </xf>
    <xf numFmtId="0" fontId="42" fillId="0" borderId="34" xfId="0" applyFont="1" applyBorder="1" applyAlignment="1" applyProtection="1">
      <alignment horizontal="left"/>
    </xf>
    <xf numFmtId="0" fontId="42" fillId="0" borderId="1" xfId="0" applyFont="1" applyBorder="1" applyAlignment="1" applyProtection="1">
      <alignment horizontal="left"/>
    </xf>
    <xf numFmtId="0" fontId="42" fillId="0" borderId="50" xfId="0" applyFont="1" applyBorder="1" applyAlignment="1" applyProtection="1">
      <alignment horizontal="left"/>
    </xf>
    <xf numFmtId="0" fontId="76" fillId="26" borderId="0" xfId="0" applyNumberFormat="1" applyFont="1" applyFill="1" applyAlignment="1" applyProtection="1">
      <alignment horizontal="center" vertical="center"/>
    </xf>
    <xf numFmtId="0" fontId="73" fillId="20" borderId="0" xfId="0" applyFont="1" applyFill="1" applyBorder="1" applyAlignment="1" applyProtection="1">
      <alignment horizontal="center"/>
    </xf>
    <xf numFmtId="0" fontId="65" fillId="0" borderId="41" xfId="0" applyFont="1" applyBorder="1" applyAlignment="1" applyProtection="1">
      <alignment horizontal="left"/>
    </xf>
    <xf numFmtId="0" fontId="65" fillId="0" borderId="42" xfId="0" applyFont="1" applyBorder="1" applyAlignment="1" applyProtection="1">
      <alignment horizontal="left"/>
    </xf>
    <xf numFmtId="0" fontId="65" fillId="0" borderId="43" xfId="0" applyFont="1" applyBorder="1" applyAlignment="1" applyProtection="1">
      <alignment horizontal="left"/>
    </xf>
    <xf numFmtId="0" fontId="66" fillId="0" borderId="0" xfId="0" applyFont="1" applyBorder="1" applyAlignment="1" applyProtection="1">
      <alignment horizontal="left"/>
    </xf>
    <xf numFmtId="0" fontId="66" fillId="0" borderId="34" xfId="0" applyFont="1" applyBorder="1" applyAlignment="1" applyProtection="1">
      <alignment horizontal="left"/>
    </xf>
    <xf numFmtId="0" fontId="72" fillId="12" borderId="0" xfId="0" applyFont="1" applyFill="1" applyAlignment="1" applyProtection="1">
      <alignment horizontal="center" vertical="center"/>
    </xf>
    <xf numFmtId="0" fontId="57" fillId="28" borderId="0" xfId="0" applyFont="1" applyFill="1" applyAlignment="1" applyProtection="1">
      <alignment horizontal="center" vertical="center"/>
    </xf>
    <xf numFmtId="0" fontId="36" fillId="12" borderId="0" xfId="0" applyFont="1" applyFill="1" applyAlignment="1" applyProtection="1">
      <alignment horizontal="center" vertical="center"/>
    </xf>
    <xf numFmtId="0" fontId="13" fillId="28" borderId="0" xfId="0" applyFont="1" applyFill="1" applyAlignment="1" applyProtection="1">
      <alignment horizontal="center" vertical="center"/>
    </xf>
    <xf numFmtId="0" fontId="14" fillId="12" borderId="0" xfId="0" applyFont="1" applyFill="1" applyAlignment="1" applyProtection="1">
      <alignment horizontal="center" vertical="center"/>
    </xf>
    <xf numFmtId="0" fontId="14" fillId="4" borderId="1" xfId="0" applyFont="1" applyFill="1" applyBorder="1" applyAlignment="1" applyProtection="1">
      <alignment horizontal="center" vertical="center"/>
    </xf>
    <xf numFmtId="0" fontId="14" fillId="4" borderId="0" xfId="0" applyFont="1" applyFill="1" applyBorder="1" applyAlignment="1" applyProtection="1">
      <alignment horizontal="center" vertical="center"/>
    </xf>
    <xf numFmtId="0" fontId="55" fillId="4" borderId="38" xfId="0" applyFont="1" applyFill="1" applyBorder="1" applyAlignment="1" applyProtection="1">
      <alignment horizontal="center" vertical="center"/>
    </xf>
    <xf numFmtId="0" fontId="55" fillId="4" borderId="39" xfId="0" applyFont="1" applyFill="1" applyBorder="1" applyAlignment="1" applyProtection="1">
      <alignment horizontal="center" vertical="center"/>
    </xf>
    <xf numFmtId="0" fontId="55" fillId="4" borderId="26" xfId="0" applyFont="1" applyFill="1" applyBorder="1" applyAlignment="1" applyProtection="1">
      <alignment horizontal="center" vertical="center"/>
    </xf>
    <xf numFmtId="0" fontId="55" fillId="4" borderId="5" xfId="0" applyFont="1" applyFill="1" applyBorder="1" applyAlignment="1" applyProtection="1">
      <alignment horizontal="center" vertical="center"/>
    </xf>
    <xf numFmtId="0" fontId="55" fillId="4" borderId="6" xfId="0" applyFont="1" applyFill="1" applyBorder="1" applyAlignment="1" applyProtection="1">
      <alignment horizontal="center" vertical="center"/>
    </xf>
    <xf numFmtId="0" fontId="55" fillId="4" borderId="7" xfId="0" applyFont="1" applyFill="1" applyBorder="1" applyAlignment="1" applyProtection="1">
      <alignment horizontal="center" vertical="center"/>
    </xf>
    <xf numFmtId="0" fontId="55" fillId="4" borderId="42" xfId="0" applyFont="1" applyFill="1" applyBorder="1" applyAlignment="1" applyProtection="1">
      <alignment horizontal="center" vertical="center"/>
    </xf>
    <xf numFmtId="0" fontId="55" fillId="4" borderId="43" xfId="0" applyFont="1" applyFill="1" applyBorder="1" applyAlignment="1" applyProtection="1">
      <alignment horizontal="center" vertical="center"/>
    </xf>
    <xf numFmtId="0" fontId="55" fillId="4" borderId="18" xfId="0" applyFont="1" applyFill="1" applyBorder="1" applyAlignment="1" applyProtection="1">
      <alignment horizontal="center" vertical="center"/>
    </xf>
    <xf numFmtId="0" fontId="55" fillId="4" borderId="44" xfId="0" applyFont="1" applyFill="1" applyBorder="1" applyAlignment="1" applyProtection="1">
      <alignment horizontal="center" vertical="center"/>
    </xf>
    <xf numFmtId="0" fontId="55" fillId="4" borderId="19" xfId="0" applyFont="1" applyFill="1" applyBorder="1" applyAlignment="1" applyProtection="1">
      <alignment horizontal="center" vertical="center"/>
    </xf>
    <xf numFmtId="0" fontId="55" fillId="4" borderId="23" xfId="0" applyFont="1" applyFill="1" applyBorder="1" applyAlignment="1" applyProtection="1">
      <alignment horizontal="center" vertical="center"/>
    </xf>
    <xf numFmtId="0" fontId="55" fillId="4" borderId="17" xfId="0" applyFont="1" applyFill="1" applyBorder="1" applyAlignment="1" applyProtection="1">
      <alignment horizontal="center" vertical="center"/>
    </xf>
    <xf numFmtId="0" fontId="16" fillId="28" borderId="0" xfId="0" applyFont="1" applyFill="1" applyAlignment="1" applyProtection="1">
      <alignment horizontal="left" vertical="center"/>
    </xf>
    <xf numFmtId="0" fontId="55" fillId="4" borderId="29" xfId="0" applyFont="1" applyFill="1" applyBorder="1" applyAlignment="1" applyProtection="1">
      <alignment horizontal="center" vertical="center"/>
    </xf>
    <xf numFmtId="0" fontId="55" fillId="4" borderId="33" xfId="0" applyFont="1" applyFill="1" applyBorder="1" applyAlignment="1" applyProtection="1">
      <alignment horizontal="center" vertical="center"/>
    </xf>
    <xf numFmtId="2" fontId="16" fillId="4" borderId="33" xfId="1" applyNumberFormat="1" applyFont="1" applyFill="1" applyBorder="1" applyAlignment="1" applyProtection="1">
      <alignment horizontal="center" vertical="center"/>
    </xf>
    <xf numFmtId="2" fontId="16" fillId="4" borderId="35" xfId="1" applyNumberFormat="1" applyFont="1" applyFill="1" applyBorder="1" applyAlignment="1" applyProtection="1">
      <alignment horizontal="center" vertical="center"/>
    </xf>
    <xf numFmtId="0" fontId="56" fillId="4" borderId="27" xfId="0" applyFont="1" applyFill="1" applyBorder="1" applyAlignment="1" applyProtection="1">
      <alignment horizontal="center" vertical="center"/>
    </xf>
    <xf numFmtId="0" fontId="56" fillId="4" borderId="36" xfId="0" applyFont="1" applyFill="1" applyBorder="1" applyAlignment="1" applyProtection="1">
      <alignment horizontal="center" vertical="center"/>
    </xf>
    <xf numFmtId="0" fontId="56" fillId="4" borderId="6" xfId="0" applyFont="1" applyFill="1" applyBorder="1" applyAlignment="1" applyProtection="1">
      <alignment horizontal="center" vertical="center"/>
    </xf>
    <xf numFmtId="0" fontId="11" fillId="4" borderId="28" xfId="0" applyFont="1" applyFill="1" applyBorder="1" applyAlignment="1" applyProtection="1">
      <alignment horizontal="center" vertical="center"/>
    </xf>
    <xf numFmtId="0" fontId="11" fillId="4" borderId="24" xfId="0" applyFont="1" applyFill="1" applyBorder="1" applyAlignment="1" applyProtection="1">
      <alignment horizontal="center" vertical="center"/>
    </xf>
    <xf numFmtId="0" fontId="11" fillId="4" borderId="25" xfId="0" applyFont="1" applyFill="1" applyBorder="1" applyAlignment="1" applyProtection="1">
      <alignment horizontal="center" vertical="center"/>
    </xf>
    <xf numFmtId="0" fontId="11" fillId="4" borderId="37" xfId="0" applyFont="1" applyFill="1" applyBorder="1" applyAlignment="1" applyProtection="1">
      <alignment horizontal="center" vertical="center"/>
    </xf>
    <xf numFmtId="0" fontId="11" fillId="4" borderId="9" xfId="0" applyFont="1" applyFill="1" applyBorder="1" applyAlignment="1" applyProtection="1">
      <alignment horizontal="center" vertical="center"/>
    </xf>
    <xf numFmtId="0" fontId="55" fillId="4" borderId="46" xfId="0" applyFont="1" applyFill="1" applyBorder="1" applyAlignment="1" applyProtection="1">
      <alignment horizontal="center" vertical="center"/>
    </xf>
    <xf numFmtId="0" fontId="55" fillId="4" borderId="47" xfId="0" applyFont="1" applyFill="1" applyBorder="1" applyAlignment="1" applyProtection="1">
      <alignment horizontal="center" vertical="center"/>
    </xf>
    <xf numFmtId="0" fontId="55" fillId="4" borderId="48" xfId="0" applyFont="1" applyFill="1" applyBorder="1" applyAlignment="1" applyProtection="1">
      <alignment horizontal="center" vertical="center"/>
    </xf>
    <xf numFmtId="0" fontId="42" fillId="12" borderId="0" xfId="0" applyFont="1" applyFill="1" applyAlignment="1" applyProtection="1">
      <alignment horizontal="center"/>
    </xf>
    <xf numFmtId="0" fontId="11" fillId="12" borderId="0" xfId="0" applyFont="1" applyFill="1" applyAlignment="1" applyProtection="1">
      <alignment horizontal="center"/>
    </xf>
    <xf numFmtId="1" fontId="16" fillId="4" borderId="11" xfId="0" applyNumberFormat="1" applyFont="1" applyFill="1" applyBorder="1" applyAlignment="1" applyProtection="1">
      <alignment horizontal="center" vertical="center"/>
    </xf>
    <xf numFmtId="1" fontId="16" fillId="4" borderId="12" xfId="0" applyNumberFormat="1" applyFont="1" applyFill="1" applyBorder="1" applyAlignment="1" applyProtection="1">
      <alignment horizontal="center" vertical="center"/>
    </xf>
    <xf numFmtId="1" fontId="16" fillId="4" borderId="22" xfId="0" applyNumberFormat="1" applyFont="1" applyFill="1" applyBorder="1" applyAlignment="1" applyProtection="1">
      <alignment horizontal="center" vertical="center"/>
    </xf>
    <xf numFmtId="1" fontId="16" fillId="4" borderId="16" xfId="0" applyNumberFormat="1" applyFont="1" applyFill="1" applyBorder="1" applyAlignment="1" applyProtection="1">
      <alignment horizontal="center" vertical="center"/>
    </xf>
    <xf numFmtId="1" fontId="16" fillId="4" borderId="33" xfId="0" applyNumberFormat="1" applyFont="1" applyFill="1" applyBorder="1" applyAlignment="1" applyProtection="1">
      <alignment horizontal="center" vertical="center"/>
    </xf>
    <xf numFmtId="0" fontId="11" fillId="12" borderId="0" xfId="0" applyFont="1" applyFill="1" applyAlignment="1" applyProtection="1">
      <alignment horizontal="center" vertical="center"/>
    </xf>
    <xf numFmtId="0" fontId="11" fillId="12" borderId="34" xfId="0" applyFont="1" applyFill="1" applyBorder="1" applyAlignment="1" applyProtection="1">
      <alignment horizontal="center" vertical="center"/>
    </xf>
    <xf numFmtId="0" fontId="11" fillId="12" borderId="0" xfId="0" applyFont="1" applyFill="1" applyBorder="1" applyAlignment="1" applyProtection="1">
      <alignment horizontal="center" vertical="center"/>
    </xf>
    <xf numFmtId="0" fontId="48" fillId="17" borderId="61" xfId="0" applyFont="1" applyFill="1" applyBorder="1" applyAlignment="1" applyProtection="1">
      <alignment horizontal="center" vertical="center" textRotation="90" shrinkToFit="1"/>
    </xf>
    <xf numFmtId="0" fontId="48" fillId="17" borderId="64" xfId="0" applyFont="1" applyFill="1" applyBorder="1" applyAlignment="1" applyProtection="1">
      <alignment horizontal="center" vertical="center" textRotation="90" shrinkToFit="1"/>
    </xf>
    <xf numFmtId="0" fontId="48" fillId="2" borderId="51" xfId="0" applyNumberFormat="1" applyFont="1" applyFill="1" applyBorder="1" applyAlignment="1" applyProtection="1">
      <alignment horizontal="center" vertical="center" textRotation="90" shrinkToFit="1"/>
      <protection locked="0"/>
    </xf>
    <xf numFmtId="0" fontId="48" fillId="2" borderId="63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51" xfId="0" applyFont="1" applyFill="1" applyBorder="1" applyAlignment="1" applyProtection="1">
      <alignment horizontal="center" vertical="center" textRotation="90" shrinkToFit="1"/>
      <protection locked="0"/>
    </xf>
    <xf numFmtId="0" fontId="62" fillId="2" borderId="63" xfId="0" applyFont="1" applyFill="1" applyBorder="1" applyAlignment="1" applyProtection="1">
      <alignment horizontal="center" vertical="center" textRotation="90" shrinkToFit="1"/>
      <protection locked="0"/>
    </xf>
    <xf numFmtId="0" fontId="48" fillId="17" borderId="52" xfId="0" applyFont="1" applyFill="1" applyBorder="1" applyAlignment="1" applyProtection="1">
      <alignment horizontal="center" vertical="center" textRotation="90" shrinkToFit="1"/>
    </xf>
    <xf numFmtId="0" fontId="48" fillId="17" borderId="51" xfId="0" applyFont="1" applyFill="1" applyBorder="1" applyAlignment="1" applyProtection="1">
      <alignment horizontal="center" vertical="center" textRotation="90" shrinkToFit="1"/>
    </xf>
    <xf numFmtId="0" fontId="48" fillId="17" borderId="63" xfId="0" applyFont="1" applyFill="1" applyBorder="1" applyAlignment="1" applyProtection="1">
      <alignment horizontal="center" vertical="center" textRotation="90" shrinkToFit="1"/>
    </xf>
    <xf numFmtId="0" fontId="62" fillId="2" borderId="51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63" xfId="0" applyNumberFormat="1" applyFont="1" applyFill="1" applyBorder="1" applyAlignment="1" applyProtection="1">
      <alignment horizontal="center" vertical="center" textRotation="90" shrinkToFit="1"/>
      <protection locked="0"/>
    </xf>
    <xf numFmtId="1" fontId="48" fillId="17" borderId="59" xfId="0" applyNumberFormat="1" applyFont="1" applyFill="1" applyBorder="1" applyAlignment="1" applyProtection="1">
      <alignment horizontal="center" vertical="center" textRotation="90" shrinkToFit="1"/>
    </xf>
    <xf numFmtId="1" fontId="48" fillId="17" borderId="61" xfId="0" applyNumberFormat="1" applyFont="1" applyFill="1" applyBorder="1" applyAlignment="1" applyProtection="1">
      <alignment horizontal="center" vertical="center" textRotation="90" shrinkToFit="1"/>
    </xf>
    <xf numFmtId="1" fontId="48" fillId="17" borderId="64" xfId="0" applyNumberFormat="1" applyFont="1" applyFill="1" applyBorder="1" applyAlignment="1" applyProtection="1">
      <alignment horizontal="center" vertical="center" textRotation="90" shrinkToFit="1"/>
    </xf>
    <xf numFmtId="0" fontId="48" fillId="19" borderId="80" xfId="0" applyFont="1" applyFill="1" applyBorder="1" applyAlignment="1" applyProtection="1">
      <alignment horizontal="center" vertical="center" shrinkToFit="1"/>
    </xf>
    <xf numFmtId="0" fontId="48" fillId="19" borderId="56" xfId="0" applyFont="1" applyFill="1" applyBorder="1" applyAlignment="1" applyProtection="1">
      <alignment horizontal="center" vertical="center" shrinkToFit="1"/>
    </xf>
    <xf numFmtId="0" fontId="48" fillId="17" borderId="57" xfId="0" applyFont="1" applyFill="1" applyBorder="1" applyAlignment="1" applyProtection="1">
      <alignment horizontal="center" vertical="center" shrinkToFit="1"/>
    </xf>
    <xf numFmtId="0" fontId="48" fillId="17" borderId="58" xfId="0" applyFont="1" applyFill="1" applyBorder="1" applyAlignment="1" applyProtection="1">
      <alignment horizontal="center" vertical="center" shrinkToFit="1"/>
    </xf>
    <xf numFmtId="0" fontId="48" fillId="17" borderId="59" xfId="0" applyFont="1" applyFill="1" applyBorder="1" applyAlignment="1" applyProtection="1">
      <alignment horizontal="center" vertical="center" shrinkToFit="1"/>
    </xf>
    <xf numFmtId="0" fontId="48" fillId="19" borderId="72" xfId="0" applyFont="1" applyFill="1" applyBorder="1" applyAlignment="1" applyProtection="1">
      <alignment horizontal="center" vertical="center" shrinkToFit="1"/>
    </xf>
    <xf numFmtId="0" fontId="48" fillId="19" borderId="75" xfId="0" applyFont="1" applyFill="1" applyBorder="1" applyAlignment="1" applyProtection="1">
      <alignment horizontal="center" vertical="center" shrinkToFit="1"/>
    </xf>
    <xf numFmtId="0" fontId="48" fillId="19" borderId="73" xfId="0" applyFont="1" applyFill="1" applyBorder="1" applyAlignment="1" applyProtection="1">
      <alignment horizontal="center" vertical="center" shrinkToFit="1"/>
    </xf>
    <xf numFmtId="0" fontId="48" fillId="19" borderId="84" xfId="0" applyFont="1" applyFill="1" applyBorder="1" applyAlignment="1" applyProtection="1">
      <alignment horizontal="center" vertical="center" shrinkToFit="1"/>
    </xf>
    <xf numFmtId="0" fontId="48" fillId="19" borderId="85" xfId="0" applyFont="1" applyFill="1" applyBorder="1" applyAlignment="1" applyProtection="1">
      <alignment horizontal="center" vertical="center" shrinkToFit="1"/>
    </xf>
    <xf numFmtId="0" fontId="48" fillId="19" borderId="86" xfId="0" applyFont="1" applyFill="1" applyBorder="1" applyAlignment="1" applyProtection="1">
      <alignment horizontal="center" vertical="center" shrinkToFit="1"/>
    </xf>
    <xf numFmtId="0" fontId="48" fillId="19" borderId="30" xfId="0" applyFont="1" applyFill="1" applyBorder="1" applyAlignment="1" applyProtection="1">
      <alignment horizontal="center" vertical="center" shrinkToFit="1"/>
    </xf>
    <xf numFmtId="0" fontId="48" fillId="20" borderId="1" xfId="0" applyFont="1" applyFill="1" applyBorder="1" applyAlignment="1" applyProtection="1">
      <alignment horizontal="right" vertical="center" shrinkToFit="1"/>
    </xf>
    <xf numFmtId="0" fontId="48" fillId="20" borderId="50" xfId="0" applyFont="1" applyFill="1" applyBorder="1" applyAlignment="1" applyProtection="1">
      <alignment horizontal="right" vertical="center" shrinkToFit="1"/>
    </xf>
    <xf numFmtId="0" fontId="48" fillId="17" borderId="68" xfId="0" applyFont="1" applyFill="1" applyBorder="1" applyAlignment="1" applyProtection="1">
      <alignment horizontal="center" vertical="center" textRotation="90" shrinkToFit="1"/>
    </xf>
    <xf numFmtId="0" fontId="48" fillId="20" borderId="80" xfId="0" applyFont="1" applyFill="1" applyBorder="1" applyAlignment="1" applyProtection="1">
      <alignment horizontal="center" vertical="center" textRotation="90" shrinkToFit="1"/>
    </xf>
    <xf numFmtId="0" fontId="48" fillId="20" borderId="56" xfId="0" applyFont="1" applyFill="1" applyBorder="1" applyAlignment="1" applyProtection="1">
      <alignment horizontal="center" vertical="center" textRotation="90" shrinkToFit="1"/>
    </xf>
    <xf numFmtId="0" fontId="48" fillId="20" borderId="30" xfId="0" applyFont="1" applyFill="1" applyBorder="1" applyAlignment="1" applyProtection="1">
      <alignment horizontal="center" vertical="center" textRotation="90" shrinkToFit="1"/>
    </xf>
    <xf numFmtId="0" fontId="48" fillId="12" borderId="46" xfId="0" applyFont="1" applyFill="1" applyBorder="1" applyAlignment="1" applyProtection="1">
      <alignment horizontal="center" vertical="center" shrinkToFit="1"/>
    </xf>
    <xf numFmtId="0" fontId="48" fillId="12" borderId="47" xfId="0" applyFont="1" applyFill="1" applyBorder="1" applyAlignment="1" applyProtection="1">
      <alignment horizontal="center" vertical="center" shrinkToFit="1"/>
    </xf>
    <xf numFmtId="0" fontId="48" fillId="12" borderId="48" xfId="0" applyFont="1" applyFill="1" applyBorder="1" applyAlignment="1" applyProtection="1">
      <alignment horizontal="center" vertical="center" shrinkToFit="1"/>
    </xf>
    <xf numFmtId="0" fontId="48" fillId="2" borderId="51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63" xfId="0" applyFont="1" applyFill="1" applyBorder="1" applyAlignment="1" applyProtection="1">
      <alignment horizontal="center" vertical="center" textRotation="90" shrinkToFit="1"/>
      <protection locked="0"/>
    </xf>
    <xf numFmtId="0" fontId="48" fillId="20" borderId="72" xfId="0" applyFont="1" applyFill="1" applyBorder="1" applyAlignment="1" applyProtection="1">
      <alignment horizontal="center" vertical="center" shrinkToFit="1"/>
    </xf>
    <xf numFmtId="0" fontId="48" fillId="20" borderId="75" xfId="0" applyFont="1" applyFill="1" applyBorder="1" applyAlignment="1" applyProtection="1">
      <alignment horizontal="center" vertical="center" shrinkToFit="1"/>
    </xf>
    <xf numFmtId="0" fontId="48" fillId="20" borderId="73" xfId="0" applyFont="1" applyFill="1" applyBorder="1" applyAlignment="1" applyProtection="1">
      <alignment horizontal="center" vertical="center" shrinkToFit="1"/>
    </xf>
    <xf numFmtId="0" fontId="48" fillId="12" borderId="77" xfId="0" applyFont="1" applyFill="1" applyBorder="1" applyAlignment="1" applyProtection="1">
      <alignment horizontal="center" vertical="center" shrinkToFit="1"/>
    </xf>
    <xf numFmtId="0" fontId="48" fillId="12" borderId="78" xfId="0" applyFont="1" applyFill="1" applyBorder="1" applyAlignment="1" applyProtection="1">
      <alignment horizontal="center" vertical="center" shrinkToFit="1"/>
    </xf>
    <xf numFmtId="0" fontId="48" fillId="12" borderId="79" xfId="0" applyFont="1" applyFill="1" applyBorder="1" applyAlignment="1" applyProtection="1">
      <alignment horizontal="center" vertical="center" shrinkToFit="1"/>
    </xf>
    <xf numFmtId="0" fontId="48" fillId="20" borderId="84" xfId="0" applyFont="1" applyFill="1" applyBorder="1" applyAlignment="1" applyProtection="1">
      <alignment horizontal="center" vertical="center" shrinkToFit="1"/>
    </xf>
    <xf numFmtId="0" fontId="48" fillId="20" borderId="85" xfId="0" applyFont="1" applyFill="1" applyBorder="1" applyAlignment="1" applyProtection="1">
      <alignment horizontal="center" vertical="center" shrinkToFit="1"/>
    </xf>
    <xf numFmtId="0" fontId="48" fillId="20" borderId="86" xfId="0" applyFont="1" applyFill="1" applyBorder="1" applyAlignment="1" applyProtection="1">
      <alignment horizontal="center" vertical="center" shrinkToFit="1"/>
    </xf>
    <xf numFmtId="0" fontId="48" fillId="17" borderId="57" xfId="0" applyFont="1" applyFill="1" applyBorder="1" applyAlignment="1" applyProtection="1">
      <alignment horizontal="center" vertical="center" textRotation="90" shrinkToFit="1"/>
    </xf>
    <xf numFmtId="0" fontId="48" fillId="17" borderId="60" xfId="0" applyFont="1" applyFill="1" applyBorder="1" applyAlignment="1" applyProtection="1">
      <alignment horizontal="center" vertical="center" textRotation="90" shrinkToFit="1"/>
    </xf>
    <xf numFmtId="0" fontId="48" fillId="17" borderId="62" xfId="0" applyFont="1" applyFill="1" applyBorder="1" applyAlignment="1" applyProtection="1">
      <alignment horizontal="center" vertical="center" textRotation="90" shrinkToFit="1"/>
    </xf>
    <xf numFmtId="0" fontId="48" fillId="20" borderId="81" xfId="0" applyFont="1" applyFill="1" applyBorder="1" applyAlignment="1" applyProtection="1">
      <alignment horizontal="center" vertical="center" shrinkToFit="1"/>
    </xf>
    <xf numFmtId="0" fontId="48" fillId="20" borderId="82" xfId="0" applyFont="1" applyFill="1" applyBorder="1" applyAlignment="1" applyProtection="1">
      <alignment horizontal="center" vertical="center" shrinkToFit="1"/>
    </xf>
    <xf numFmtId="0" fontId="48" fillId="20" borderId="83" xfId="0" applyFont="1" applyFill="1" applyBorder="1" applyAlignment="1" applyProtection="1">
      <alignment horizontal="center" vertical="center" shrinkToFit="1"/>
    </xf>
    <xf numFmtId="0" fontId="48" fillId="21" borderId="77" xfId="0" applyFont="1" applyFill="1" applyBorder="1" applyAlignment="1" applyProtection="1">
      <alignment horizontal="center" vertical="center" shrinkToFit="1"/>
    </xf>
    <xf numFmtId="0" fontId="48" fillId="21" borderId="78" xfId="0" applyFont="1" applyFill="1" applyBorder="1" applyAlignment="1" applyProtection="1">
      <alignment horizontal="center" vertical="center" shrinkToFit="1"/>
    </xf>
    <xf numFmtId="0" fontId="48" fillId="21" borderId="79" xfId="0" applyFont="1" applyFill="1" applyBorder="1" applyAlignment="1" applyProtection="1">
      <alignment horizontal="center" vertical="center" shrinkToFit="1"/>
    </xf>
    <xf numFmtId="0" fontId="62" fillId="2" borderId="60" xfId="0" applyFont="1" applyFill="1" applyBorder="1" applyAlignment="1" applyProtection="1">
      <alignment horizontal="center" vertical="center" textRotation="90" shrinkToFit="1"/>
      <protection locked="0"/>
    </xf>
    <xf numFmtId="0" fontId="62" fillId="2" borderId="62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52" xfId="0" applyFont="1" applyFill="1" applyBorder="1" applyAlignment="1" applyProtection="1">
      <alignment horizontal="center" vertical="center" textRotation="90" shrinkToFit="1"/>
      <protection locked="0"/>
    </xf>
    <xf numFmtId="0" fontId="62" fillId="2" borderId="60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62" xfId="0" applyNumberFormat="1" applyFont="1" applyFill="1" applyBorder="1" applyAlignment="1" applyProtection="1">
      <alignment horizontal="center" vertical="center" textRotation="90" shrinkToFit="1"/>
      <protection locked="0"/>
    </xf>
    <xf numFmtId="0" fontId="48" fillId="20" borderId="41" xfId="0" applyFont="1" applyFill="1" applyBorder="1" applyAlignment="1" applyProtection="1">
      <alignment horizontal="center" vertical="center" shrinkToFit="1"/>
    </xf>
    <xf numFmtId="0" fontId="48" fillId="20" borderId="42" xfId="0" applyFont="1" applyFill="1" applyBorder="1" applyAlignment="1" applyProtection="1">
      <alignment horizontal="center" vertical="center" shrinkToFit="1"/>
    </xf>
    <xf numFmtId="0" fontId="48" fillId="20" borderId="43" xfId="0" applyFont="1" applyFill="1" applyBorder="1" applyAlignment="1" applyProtection="1">
      <alignment horizontal="center" vertical="center" shrinkToFit="1"/>
    </xf>
    <xf numFmtId="0" fontId="40" fillId="12" borderId="115" xfId="0" applyFont="1" applyFill="1" applyBorder="1" applyAlignment="1" applyProtection="1">
      <alignment horizontal="center" vertical="center" shrinkToFit="1"/>
    </xf>
    <xf numFmtId="0" fontId="40" fillId="12" borderId="116" xfId="0" applyFont="1" applyFill="1" applyBorder="1" applyAlignment="1" applyProtection="1">
      <alignment horizontal="center" vertical="center" shrinkToFit="1"/>
    </xf>
    <xf numFmtId="0" fontId="40" fillId="12" borderId="117" xfId="0" applyFont="1" applyFill="1" applyBorder="1" applyAlignment="1" applyProtection="1">
      <alignment horizontal="center" vertical="center" shrinkToFit="1"/>
    </xf>
    <xf numFmtId="0" fontId="36" fillId="12" borderId="1" xfId="0" applyFont="1" applyFill="1" applyBorder="1" applyAlignment="1" applyProtection="1">
      <alignment horizontal="center" vertical="center" shrinkToFit="1"/>
    </xf>
    <xf numFmtId="0" fontId="37" fillId="19" borderId="80" xfId="0" applyFont="1" applyFill="1" applyBorder="1" applyAlignment="1" applyProtection="1">
      <alignment horizontal="center" vertical="center" wrapText="1" shrinkToFit="1"/>
    </xf>
    <xf numFmtId="0" fontId="37" fillId="19" borderId="56" xfId="0" applyFont="1" applyFill="1" applyBorder="1" applyAlignment="1" applyProtection="1">
      <alignment horizontal="center" vertical="center" wrapText="1" shrinkToFit="1"/>
    </xf>
    <xf numFmtId="0" fontId="37" fillId="19" borderId="30" xfId="0" applyFont="1" applyFill="1" applyBorder="1" applyAlignment="1" applyProtection="1">
      <alignment horizontal="center" vertical="center" wrapText="1" shrinkToFit="1"/>
    </xf>
    <xf numFmtId="0" fontId="48" fillId="12" borderId="58" xfId="0" applyFont="1" applyFill="1" applyBorder="1" applyAlignment="1" applyProtection="1">
      <alignment horizontal="center" vertical="center" shrinkToFit="1"/>
    </xf>
    <xf numFmtId="0" fontId="48" fillId="12" borderId="51" xfId="0" applyFont="1" applyFill="1" applyBorder="1" applyAlignment="1" applyProtection="1">
      <alignment horizontal="center" vertical="center" shrinkToFit="1"/>
    </xf>
    <xf numFmtId="0" fontId="48" fillId="12" borderId="63" xfId="0" applyFont="1" applyFill="1" applyBorder="1" applyAlignment="1" applyProtection="1">
      <alignment horizontal="center" vertical="center" shrinkToFit="1"/>
    </xf>
    <xf numFmtId="0" fontId="48" fillId="12" borderId="91" xfId="0" applyFont="1" applyFill="1" applyBorder="1" applyAlignment="1" applyProtection="1">
      <alignment horizontal="center" vertical="center" shrinkToFit="1"/>
    </xf>
    <xf numFmtId="0" fontId="48" fillId="12" borderId="65" xfId="0" applyFont="1" applyFill="1" applyBorder="1" applyAlignment="1" applyProtection="1">
      <alignment horizontal="center" vertical="center" shrinkToFit="1"/>
    </xf>
    <xf numFmtId="0" fontId="48" fillId="12" borderId="66" xfId="0" applyFont="1" applyFill="1" applyBorder="1" applyAlignment="1" applyProtection="1">
      <alignment horizontal="center" vertical="center" shrinkToFit="1"/>
    </xf>
    <xf numFmtId="0" fontId="43" fillId="8" borderId="57" xfId="0" applyFont="1" applyFill="1" applyBorder="1" applyAlignment="1" applyProtection="1">
      <alignment horizontal="center" vertical="center" shrinkToFit="1"/>
    </xf>
    <xf numFmtId="0" fontId="43" fillId="8" borderId="59" xfId="0" applyFont="1" applyFill="1" applyBorder="1" applyAlignment="1" applyProtection="1">
      <alignment horizontal="center" vertical="center" shrinkToFit="1"/>
    </xf>
    <xf numFmtId="0" fontId="48" fillId="17" borderId="72" xfId="0" applyFont="1" applyFill="1" applyBorder="1" applyAlignment="1" applyProtection="1">
      <alignment horizontal="center" vertical="center" textRotation="90" shrinkToFit="1"/>
    </xf>
    <xf numFmtId="0" fontId="48" fillId="17" borderId="75" xfId="0" applyFont="1" applyFill="1" applyBorder="1" applyAlignment="1" applyProtection="1">
      <alignment horizontal="center" vertical="center" textRotation="90" shrinkToFit="1"/>
    </xf>
    <xf numFmtId="0" fontId="48" fillId="17" borderId="73" xfId="0" applyFont="1" applyFill="1" applyBorder="1" applyAlignment="1" applyProtection="1">
      <alignment horizontal="center" vertical="center" textRotation="90" shrinkToFit="1"/>
    </xf>
    <xf numFmtId="0" fontId="48" fillId="2" borderId="71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69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70" xfId="0" applyFont="1" applyFill="1" applyBorder="1" applyAlignment="1" applyProtection="1">
      <alignment horizontal="center" vertical="center" textRotation="90" shrinkToFit="1"/>
      <protection locked="0"/>
    </xf>
    <xf numFmtId="0" fontId="61" fillId="20" borderId="80" xfId="0" applyFont="1" applyFill="1" applyBorder="1" applyAlignment="1" applyProtection="1">
      <alignment horizontal="center" vertical="center" textRotation="90" shrinkToFit="1"/>
    </xf>
    <xf numFmtId="0" fontId="61" fillId="20" borderId="56" xfId="0" applyFont="1" applyFill="1" applyBorder="1" applyAlignment="1" applyProtection="1">
      <alignment horizontal="center" vertical="center" textRotation="90" shrinkToFit="1"/>
    </xf>
    <xf numFmtId="0" fontId="61" fillId="20" borderId="30" xfId="0" applyFont="1" applyFill="1" applyBorder="1" applyAlignment="1" applyProtection="1">
      <alignment horizontal="center" vertical="center" textRotation="90" shrinkToFit="1"/>
    </xf>
    <xf numFmtId="0" fontId="48" fillId="20" borderId="87" xfId="0" applyFont="1" applyFill="1" applyBorder="1" applyAlignment="1" applyProtection="1">
      <alignment horizontal="center" vertical="center" shrinkToFit="1"/>
    </xf>
    <xf numFmtId="0" fontId="48" fillId="20" borderId="0" xfId="0" applyFont="1" applyFill="1" applyBorder="1" applyAlignment="1" applyProtection="1">
      <alignment horizontal="center" vertical="center" shrinkToFit="1"/>
    </xf>
    <xf numFmtId="0" fontId="48" fillId="20" borderId="34" xfId="0" applyFont="1" applyFill="1" applyBorder="1" applyAlignment="1" applyProtection="1">
      <alignment horizontal="center" vertical="center" shrinkToFit="1"/>
    </xf>
    <xf numFmtId="0" fontId="48" fillId="20" borderId="49" xfId="0" applyFont="1" applyFill="1" applyBorder="1" applyAlignment="1" applyProtection="1">
      <alignment horizontal="left" vertical="center" shrinkToFit="1"/>
    </xf>
    <xf numFmtId="0" fontId="48" fillId="20" borderId="1" xfId="0" applyFont="1" applyFill="1" applyBorder="1" applyAlignment="1" applyProtection="1">
      <alignment horizontal="left" vertical="center" shrinkToFit="1"/>
    </xf>
    <xf numFmtId="0" fontId="39" fillId="20" borderId="1" xfId="0" applyFont="1" applyFill="1" applyBorder="1" applyAlignment="1" applyProtection="1">
      <alignment horizontal="center" vertical="center" shrinkToFit="1"/>
    </xf>
    <xf numFmtId="0" fontId="39" fillId="20" borderId="41" xfId="0" applyFont="1" applyFill="1" applyBorder="1" applyAlignment="1" applyProtection="1">
      <alignment horizontal="center" vertical="center" shrinkToFit="1"/>
    </xf>
    <xf numFmtId="0" fontId="39" fillId="20" borderId="42" xfId="0" applyFont="1" applyFill="1" applyBorder="1" applyAlignment="1" applyProtection="1">
      <alignment horizontal="center" vertical="center" shrinkToFit="1"/>
    </xf>
    <xf numFmtId="1" fontId="42" fillId="19" borderId="5" xfId="0" applyNumberFormat="1" applyFont="1" applyFill="1" applyBorder="1" applyAlignment="1" applyProtection="1">
      <alignment horizontal="left" vertical="center" shrinkToFit="1"/>
    </xf>
    <xf numFmtId="1" fontId="42" fillId="19" borderId="6" xfId="0" applyNumberFormat="1" applyFont="1" applyFill="1" applyBorder="1" applyAlignment="1" applyProtection="1">
      <alignment horizontal="left" vertical="center" shrinkToFit="1"/>
    </xf>
    <xf numFmtId="1" fontId="42" fillId="19" borderId="7" xfId="0" applyNumberFormat="1" applyFont="1" applyFill="1" applyBorder="1" applyAlignment="1" applyProtection="1">
      <alignment horizontal="left" vertical="center" shrinkToFit="1"/>
    </xf>
    <xf numFmtId="1" fontId="42" fillId="19" borderId="28" xfId="0" applyNumberFormat="1" applyFont="1" applyFill="1" applyBorder="1" applyAlignment="1" applyProtection="1">
      <alignment horizontal="left" vertical="center" shrinkToFit="1"/>
    </xf>
    <xf numFmtId="1" fontId="42" fillId="19" borderId="37" xfId="0" applyNumberFormat="1" applyFont="1" applyFill="1" applyBorder="1" applyAlignment="1" applyProtection="1">
      <alignment horizontal="left" vertical="center" shrinkToFit="1"/>
    </xf>
    <xf numFmtId="1" fontId="42" fillId="19" borderId="109" xfId="0" applyNumberFormat="1" applyFont="1" applyFill="1" applyBorder="1" applyAlignment="1" applyProtection="1">
      <alignment horizontal="left" vertical="center" shrinkToFit="1"/>
    </xf>
    <xf numFmtId="1" fontId="42" fillId="19" borderId="8" xfId="0" applyNumberFormat="1" applyFont="1" applyFill="1" applyBorder="1" applyAlignment="1" applyProtection="1">
      <alignment horizontal="left" vertical="center" shrinkToFit="1"/>
    </xf>
    <xf numFmtId="1" fontId="42" fillId="19" borderId="9" xfId="0" applyNumberFormat="1" applyFont="1" applyFill="1" applyBorder="1" applyAlignment="1" applyProtection="1">
      <alignment horizontal="left" vertical="center" shrinkToFit="1"/>
    </xf>
    <xf numFmtId="1" fontId="42" fillId="19" borderId="10" xfId="0" applyNumberFormat="1" applyFont="1" applyFill="1" applyBorder="1" applyAlignment="1" applyProtection="1">
      <alignment horizontal="left" vertical="center" shrinkToFit="1"/>
    </xf>
    <xf numFmtId="0" fontId="39" fillId="12" borderId="57" xfId="0" applyFont="1" applyFill="1" applyBorder="1" applyAlignment="1" applyProtection="1">
      <alignment horizontal="center" vertical="center" shrinkToFit="1"/>
    </xf>
    <xf numFmtId="0" fontId="39" fillId="12" borderId="60" xfId="0" applyFont="1" applyFill="1" applyBorder="1" applyAlignment="1" applyProtection="1">
      <alignment horizontal="center" vertical="center" shrinkToFit="1"/>
    </xf>
    <xf numFmtId="0" fontId="39" fillId="12" borderId="62" xfId="0" applyFont="1" applyFill="1" applyBorder="1" applyAlignment="1" applyProtection="1">
      <alignment horizontal="center" vertical="center" shrinkToFit="1"/>
    </xf>
    <xf numFmtId="0" fontId="39" fillId="12" borderId="58" xfId="0" applyFont="1" applyFill="1" applyBorder="1" applyAlignment="1" applyProtection="1">
      <alignment horizontal="center" vertical="center" shrinkToFit="1"/>
    </xf>
    <xf numFmtId="0" fontId="39" fillId="12" borderId="51" xfId="0" applyFont="1" applyFill="1" applyBorder="1" applyAlignment="1" applyProtection="1">
      <alignment horizontal="center" vertical="center" shrinkToFit="1"/>
    </xf>
    <xf numFmtId="0" fontId="39" fillId="12" borderId="63" xfId="0" applyFont="1" applyFill="1" applyBorder="1" applyAlignment="1" applyProtection="1">
      <alignment horizontal="center" vertical="center" shrinkToFit="1"/>
    </xf>
    <xf numFmtId="0" fontId="39" fillId="12" borderId="5" xfId="0" applyFont="1" applyFill="1" applyBorder="1" applyAlignment="1" applyProtection="1">
      <alignment horizontal="center" vertical="center" shrinkToFit="1"/>
    </xf>
    <xf numFmtId="0" fontId="39" fillId="12" borderId="8" xfId="0" applyFont="1" applyFill="1" applyBorder="1" applyAlignment="1" applyProtection="1">
      <alignment horizontal="center" vertical="center" shrinkToFit="1"/>
    </xf>
    <xf numFmtId="0" fontId="39" fillId="12" borderId="11" xfId="0" applyFont="1" applyFill="1" applyBorder="1" applyAlignment="1" applyProtection="1">
      <alignment horizontal="center" vertical="center" shrinkToFit="1"/>
    </xf>
    <xf numFmtId="1" fontId="42" fillId="19" borderId="11" xfId="0" applyNumberFormat="1" applyFont="1" applyFill="1" applyBorder="1" applyAlignment="1" applyProtection="1">
      <alignment horizontal="left" vertical="center" shrinkToFit="1"/>
    </xf>
    <xf numFmtId="1" fontId="42" fillId="19" borderId="12" xfId="0" applyNumberFormat="1" applyFont="1" applyFill="1" applyBorder="1" applyAlignment="1" applyProtection="1">
      <alignment horizontal="left" vertical="center" shrinkToFit="1"/>
    </xf>
    <xf numFmtId="1" fontId="42" fillId="19" borderId="13" xfId="0" applyNumberFormat="1" applyFont="1" applyFill="1" applyBorder="1" applyAlignment="1" applyProtection="1">
      <alignment horizontal="left" vertical="center" shrinkToFit="1"/>
    </xf>
    <xf numFmtId="0" fontId="42" fillId="20" borderId="46" xfId="0" applyFont="1" applyFill="1" applyBorder="1" applyAlignment="1">
      <alignment horizontal="center" vertical="center" shrinkToFit="1"/>
    </xf>
    <xf numFmtId="0" fontId="42" fillId="20" borderId="47" xfId="0" applyFont="1" applyFill="1" applyBorder="1" applyAlignment="1">
      <alignment horizontal="center" vertical="center" shrinkToFit="1"/>
    </xf>
    <xf numFmtId="0" fontId="42" fillId="20" borderId="48" xfId="0" applyFont="1" applyFill="1" applyBorder="1" applyAlignment="1">
      <alignment horizontal="center" vertical="center" shrinkToFit="1"/>
    </xf>
    <xf numFmtId="0" fontId="42" fillId="7" borderId="22" xfId="0" applyFont="1" applyFill="1" applyBorder="1" applyAlignment="1" applyProtection="1">
      <alignment horizontal="center" vertical="center" shrinkToFit="1"/>
      <protection locked="0"/>
    </xf>
    <xf numFmtId="0" fontId="42" fillId="7" borderId="33" xfId="0" applyFont="1" applyFill="1" applyBorder="1" applyAlignment="1" applyProtection="1">
      <alignment horizontal="center" vertical="center" shrinkToFit="1"/>
      <protection locked="0"/>
    </xf>
    <xf numFmtId="0" fontId="42" fillId="7" borderId="100" xfId="0" applyFont="1" applyFill="1" applyBorder="1" applyAlignment="1" applyProtection="1">
      <alignment horizontal="center" vertical="center" shrinkToFit="1"/>
      <protection locked="0"/>
    </xf>
    <xf numFmtId="0" fontId="42" fillId="7" borderId="101" xfId="0" applyFont="1" applyFill="1" applyBorder="1" applyAlignment="1" applyProtection="1">
      <alignment horizontal="center" vertical="center" shrinkToFit="1"/>
      <protection locked="0"/>
    </xf>
    <xf numFmtId="0" fontId="50" fillId="8" borderId="46" xfId="0" applyFont="1" applyFill="1" applyBorder="1" applyAlignment="1">
      <alignment horizontal="center" shrinkToFit="1"/>
    </xf>
    <xf numFmtId="0" fontId="50" fillId="8" borderId="47" xfId="0" applyFont="1" applyFill="1" applyBorder="1" applyAlignment="1">
      <alignment horizontal="center" shrinkToFit="1"/>
    </xf>
    <xf numFmtId="0" fontId="50" fillId="8" borderId="48" xfId="0" applyFont="1" applyFill="1" applyBorder="1" applyAlignment="1">
      <alignment horizontal="center" shrinkToFit="1"/>
    </xf>
    <xf numFmtId="0" fontId="50" fillId="8" borderId="112" xfId="0" applyFont="1" applyFill="1" applyBorder="1" applyAlignment="1">
      <alignment horizontal="center" vertical="center" textRotation="90" shrinkToFit="1"/>
    </xf>
    <xf numFmtId="0" fontId="50" fillId="8" borderId="113" xfId="0" applyFont="1" applyFill="1" applyBorder="1" applyAlignment="1">
      <alignment horizontal="center" vertical="center" textRotation="90" shrinkToFit="1"/>
    </xf>
    <xf numFmtId="0" fontId="50" fillId="8" borderId="114" xfId="0" applyFont="1" applyFill="1" applyBorder="1" applyAlignment="1">
      <alignment horizontal="center" vertical="center" textRotation="90" shrinkToFit="1"/>
    </xf>
    <xf numFmtId="0" fontId="50" fillId="8" borderId="118" xfId="0" applyFont="1" applyFill="1" applyBorder="1" applyAlignment="1">
      <alignment horizontal="center" shrinkToFit="1"/>
    </xf>
    <xf numFmtId="0" fontId="50" fillId="8" borderId="119" xfId="0" applyFont="1" applyFill="1" applyBorder="1" applyAlignment="1">
      <alignment horizontal="left" shrinkToFit="1"/>
    </xf>
    <xf numFmtId="0" fontId="50" fillId="8" borderId="48" xfId="0" applyFont="1" applyFill="1" applyBorder="1" applyAlignment="1">
      <alignment horizontal="left" shrinkToFit="1"/>
    </xf>
    <xf numFmtId="0" fontId="42" fillId="8" borderId="123" xfId="0" applyFont="1" applyFill="1" applyBorder="1" applyAlignment="1">
      <alignment horizontal="center" vertical="center" shrinkToFit="1"/>
    </xf>
    <xf numFmtId="0" fontId="42" fillId="8" borderId="124" xfId="0" applyFont="1" applyFill="1" applyBorder="1" applyAlignment="1">
      <alignment horizontal="center" vertical="center" shrinkToFit="1"/>
    </xf>
    <xf numFmtId="0" fontId="42" fillId="8" borderId="125" xfId="0" applyFont="1" applyFill="1" applyBorder="1" applyAlignment="1">
      <alignment horizontal="center" vertical="center" shrinkToFit="1"/>
    </xf>
    <xf numFmtId="0" fontId="42" fillId="8" borderId="39" xfId="0" applyFont="1" applyFill="1" applyBorder="1" applyAlignment="1">
      <alignment horizontal="center" vertical="center" shrinkToFit="1"/>
    </xf>
    <xf numFmtId="0" fontId="42" fillId="8" borderId="121" xfId="0" applyFont="1" applyFill="1" applyBorder="1" applyAlignment="1">
      <alignment horizontal="center" vertical="center" shrinkToFit="1"/>
    </xf>
    <xf numFmtId="0" fontId="42" fillId="8" borderId="45" xfId="0" applyFont="1" applyFill="1" applyBorder="1" applyAlignment="1">
      <alignment horizontal="center" vertical="center" shrinkToFit="1"/>
    </xf>
    <xf numFmtId="0" fontId="50" fillId="8" borderId="17" xfId="0" applyFont="1" applyFill="1" applyBorder="1" applyAlignment="1">
      <alignment horizontal="center" vertical="center" wrapText="1"/>
    </xf>
    <xf numFmtId="0" fontId="50" fillId="8" borderId="25" xfId="0" applyFont="1" applyFill="1" applyBorder="1" applyAlignment="1">
      <alignment horizontal="center" vertical="center" wrapText="1"/>
    </xf>
    <xf numFmtId="0" fontId="50" fillId="8" borderId="22" xfId="0" applyFont="1" applyFill="1" applyBorder="1" applyAlignment="1">
      <alignment horizontal="center" vertical="center" wrapText="1"/>
    </xf>
    <xf numFmtId="0" fontId="42" fillId="20" borderId="42" xfId="0" applyFont="1" applyFill="1" applyBorder="1" applyAlignment="1">
      <alignment horizontal="center" vertical="center" shrinkToFit="1"/>
    </xf>
    <xf numFmtId="0" fontId="42" fillId="20" borderId="41" xfId="0" applyFont="1" applyFill="1" applyBorder="1" applyAlignment="1">
      <alignment horizontal="center" vertical="center" shrinkToFit="1"/>
    </xf>
    <xf numFmtId="0" fontId="42" fillId="20" borderId="43" xfId="0" applyFont="1" applyFill="1" applyBorder="1" applyAlignment="1">
      <alignment horizontal="center" vertical="center" shrinkToFit="1"/>
    </xf>
    <xf numFmtId="0" fontId="50" fillId="20" borderId="88" xfId="0" applyFont="1" applyFill="1" applyBorder="1" applyAlignment="1">
      <alignment horizontal="center" vertical="center"/>
    </xf>
    <xf numFmtId="0" fontId="50" fillId="17" borderId="0" xfId="0" applyFont="1" applyFill="1" applyBorder="1" applyAlignment="1">
      <alignment horizontal="center" vertical="center"/>
    </xf>
    <xf numFmtId="0" fontId="48" fillId="17" borderId="0" xfId="0" applyFont="1" applyFill="1" applyBorder="1" applyAlignment="1">
      <alignment horizontal="center" vertical="center"/>
    </xf>
    <xf numFmtId="0" fontId="37" fillId="17" borderId="0" xfId="0" applyFont="1" applyFill="1" applyBorder="1" applyAlignment="1">
      <alignment horizontal="center" vertical="center"/>
    </xf>
    <xf numFmtId="0" fontId="39" fillId="17" borderId="0" xfId="0" applyFont="1" applyFill="1" applyBorder="1" applyAlignment="1">
      <alignment horizontal="center" vertical="center"/>
    </xf>
    <xf numFmtId="0" fontId="39" fillId="12" borderId="88" xfId="0" applyFont="1" applyFill="1" applyBorder="1" applyAlignment="1">
      <alignment horizontal="center" vertical="center"/>
    </xf>
    <xf numFmtId="0" fontId="50" fillId="12" borderId="88" xfId="0" applyFont="1" applyFill="1" applyBorder="1"/>
    <xf numFmtId="0" fontId="37" fillId="20" borderId="88" xfId="0" applyFont="1" applyFill="1" applyBorder="1" applyAlignment="1">
      <alignment horizontal="center" vertical="center"/>
    </xf>
    <xf numFmtId="0" fontId="51" fillId="20" borderId="88" xfId="0" applyFont="1" applyFill="1" applyBorder="1"/>
    <xf numFmtId="0" fontId="39" fillId="20" borderId="88" xfId="0" applyFont="1" applyFill="1" applyBorder="1" applyAlignment="1">
      <alignment horizontal="center" vertical="center"/>
    </xf>
    <xf numFmtId="0" fontId="50" fillId="20" borderId="88" xfId="0" applyFont="1" applyFill="1" applyBorder="1"/>
    <xf numFmtId="0" fontId="51" fillId="20" borderId="88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27" fillId="2" borderId="0" xfId="0" applyFont="1" applyFill="1" applyBorder="1" applyAlignment="1">
      <alignment horizontal="center" vertical="center"/>
    </xf>
    <xf numFmtId="0" fontId="33" fillId="2" borderId="0" xfId="0" applyFont="1" applyFill="1" applyBorder="1" applyAlignment="1">
      <alignment horizontal="center" vertical="center"/>
    </xf>
    <xf numFmtId="0" fontId="7" fillId="3" borderId="46" xfId="0" applyFont="1" applyFill="1" applyBorder="1" applyAlignment="1">
      <alignment horizontal="left" vertical="center"/>
    </xf>
    <xf numFmtId="0" fontId="7" fillId="3" borderId="47" xfId="0" applyFont="1" applyFill="1" applyBorder="1" applyAlignment="1">
      <alignment horizontal="left" vertical="center"/>
    </xf>
    <xf numFmtId="0" fontId="29" fillId="11" borderId="41" xfId="0" applyFont="1" applyFill="1" applyBorder="1" applyAlignment="1">
      <alignment horizontal="left" vertical="center"/>
    </xf>
    <xf numFmtId="0" fontId="29" fillId="11" borderId="42" xfId="0" applyFont="1" applyFill="1" applyBorder="1" applyAlignment="1">
      <alignment horizontal="left" vertical="center"/>
    </xf>
    <xf numFmtId="0" fontId="29" fillId="11" borderId="43" xfId="0" applyFont="1" applyFill="1" applyBorder="1" applyAlignment="1">
      <alignment horizontal="left" vertical="center"/>
    </xf>
    <xf numFmtId="0" fontId="24" fillId="2" borderId="28" xfId="0" applyFont="1" applyFill="1" applyBorder="1" applyAlignment="1">
      <alignment horizontal="left" vertical="center"/>
    </xf>
    <xf numFmtId="0" fontId="24" fillId="2" borderId="37" xfId="0" applyFont="1" applyFill="1" applyBorder="1" applyAlignment="1">
      <alignment horizontal="left" vertical="center"/>
    </xf>
    <xf numFmtId="0" fontId="24" fillId="2" borderId="24" xfId="0" applyFont="1" applyFill="1" applyBorder="1" applyAlignment="1">
      <alignment horizontal="left" vertical="center"/>
    </xf>
    <xf numFmtId="0" fontId="0" fillId="0" borderId="25" xfId="0" applyFont="1" applyFill="1" applyBorder="1" applyAlignment="1">
      <alignment horizontal="left"/>
    </xf>
    <xf numFmtId="0" fontId="0" fillId="0" borderId="37" xfId="0" applyFont="1" applyFill="1" applyBorder="1" applyAlignment="1">
      <alignment horizontal="left"/>
    </xf>
    <xf numFmtId="0" fontId="26" fillId="0" borderId="11" xfId="0" applyFont="1" applyBorder="1" applyAlignment="1">
      <alignment horizontal="left"/>
    </xf>
    <xf numFmtId="0" fontId="26" fillId="0" borderId="12" xfId="0" applyFont="1" applyBorder="1" applyAlignment="1">
      <alignment horizontal="left"/>
    </xf>
    <xf numFmtId="0" fontId="0" fillId="0" borderId="25" xfId="0" applyFont="1" applyBorder="1" applyAlignment="1">
      <alignment horizontal="left"/>
    </xf>
    <xf numFmtId="0" fontId="0" fillId="0" borderId="37" xfId="0" applyFont="1" applyBorder="1" applyAlignment="1">
      <alignment horizontal="left"/>
    </xf>
    <xf numFmtId="0" fontId="30" fillId="0" borderId="54" xfId="0" applyFont="1" applyFill="1" applyBorder="1" applyAlignment="1">
      <alignment horizontal="left" vertical="center"/>
    </xf>
    <xf numFmtId="0" fontId="30" fillId="0" borderId="53" xfId="0" applyFont="1" applyFill="1" applyBorder="1" applyAlignment="1">
      <alignment horizontal="left" vertical="center"/>
    </xf>
    <xf numFmtId="0" fontId="59" fillId="15" borderId="0" xfId="0" applyFont="1" applyFill="1" applyAlignment="1">
      <alignment horizontal="center"/>
    </xf>
  </cellXfs>
  <cellStyles count="3">
    <cellStyle name="Hyperlink" xfId="2" builtinId="8"/>
    <cellStyle name="Normal" xfId="0" builtinId="0"/>
    <cellStyle name="Percent" xfId="1" builtinId="5"/>
  </cellStyles>
  <dxfs count="18"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</dxfs>
  <tableStyles count="0" defaultTableStyle="TableStyleMedium9" defaultPivotStyle="PivotStyleLight16"/>
  <colors>
    <mruColors>
      <color rgb="FF007E39"/>
      <color rgb="FFB6DF89"/>
      <color rgb="FFFF3300"/>
      <color rgb="FF0328DF"/>
      <color rgb="FF0329E7"/>
      <color rgb="FFFFFF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th-TH"/>
              <a:t>ผลการเรียน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Lit>
              <c:formatCode>General</c:formatCode>
              <c:ptCount val="8"/>
              <c:pt idx="0">
                <c:v>0</c:v>
              </c:pt>
              <c:pt idx="1">
                <c:v>1</c:v>
              </c:pt>
              <c:pt idx="2">
                <c:v>1.5</c:v>
              </c:pt>
              <c:pt idx="3">
                <c:v>2</c:v>
              </c:pt>
              <c:pt idx="4">
                <c:v>2.5</c:v>
              </c:pt>
              <c:pt idx="5">
                <c:v>3</c:v>
              </c:pt>
              <c:pt idx="6">
                <c:v>3.5</c:v>
              </c:pt>
              <c:pt idx="7">
                <c:v>4</c:v>
              </c:pt>
            </c:numLit>
          </c:cat>
          <c:val>
            <c:numRef>
              <c:f>สรุปผลการเรียน!$B$7:$B$14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056-4257-BADF-AA74552A5E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312837344"/>
        <c:axId val="-312831904"/>
      </c:lineChart>
      <c:catAx>
        <c:axId val="-3128373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-312831904"/>
        <c:crosses val="autoZero"/>
        <c:auto val="1"/>
        <c:lblAlgn val="ctr"/>
        <c:lblOffset val="100"/>
        <c:noMultiLvlLbl val="0"/>
      </c:catAx>
      <c:valAx>
        <c:axId val="-31283190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31283734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11" l="0.25" r="0.25" t="0.75000000000000011" header="0.30000000000000004" footer="0.30000000000000004"/>
    <c:pageSetup paperSize="9" orientation="landscape" horizontalDpi="-3" verticalDpi="0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&#3588;&#3635;&#3649;&#3609;&#3632;&#3609;&#3635;!A1"/><Relationship Id="rId3" Type="http://schemas.openxmlformats.org/officeDocument/2006/relationships/hyperlink" Target="#&#3611;&#3614;.5!A1"/><Relationship Id="rId7" Type="http://schemas.openxmlformats.org/officeDocument/2006/relationships/hyperlink" Target="#&#3626;&#3619;&#3640;&#3611;&#3612;&#3621;&#3585;&#3634;&#3619;&#3648;&#3619;&#3637;&#3618;&#3609;!A1"/><Relationship Id="rId2" Type="http://schemas.openxmlformats.org/officeDocument/2006/relationships/hyperlink" Target="#&#3627;&#3609;&#3657;&#3634;&#3611;&#3585;!A1"/><Relationship Id="rId1" Type="http://schemas.openxmlformats.org/officeDocument/2006/relationships/hyperlink" Target="#DATA!A1"/><Relationship Id="rId6" Type="http://schemas.openxmlformats.org/officeDocument/2006/relationships/hyperlink" Target="#&#3626;&#3619;&#3640;&#3611;&#3588;&#3632;&#3649;&#3609;&#3609;A&#3668;!A1"/><Relationship Id="rId5" Type="http://schemas.openxmlformats.org/officeDocument/2006/relationships/hyperlink" Target="#&#3648;&#3623;&#3621;&#3634;&#3648;&#3619;&#3637;&#3618;&#3609;&#3666;!A1"/><Relationship Id="rId4" Type="http://schemas.openxmlformats.org/officeDocument/2006/relationships/hyperlink" Target="#&#3648;&#3623;&#3621;&#3634;&#3648;&#3619;&#3637;&#3618;&#3609;&#3665;!A1"/><Relationship Id="rId9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&#3626;&#3634;&#3619;&#3610;&#3633;&#3597;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hyperlink" Target="#&#3626;&#3634;&#3619;&#3610;&#3633;&#3597;!A1"/><Relationship Id="rId1" Type="http://schemas.openxmlformats.org/officeDocument/2006/relationships/chart" Target="../charts/chart1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628650</xdr:colOff>
      <xdr:row>11</xdr:row>
      <xdr:rowOff>19050</xdr:rowOff>
    </xdr:from>
    <xdr:to>
      <xdr:col>2</xdr:col>
      <xdr:colOff>590550</xdr:colOff>
      <xdr:row>12</xdr:row>
      <xdr:rowOff>276225</xdr:rowOff>
    </xdr:to>
    <xdr:sp macro="" textlink="">
      <xdr:nvSpPr>
        <xdr:cNvPr id="3" name="สี่เหลี่ยมผืนผ้ามุมมน 2">
          <a:hlinkClick xmlns:r="http://schemas.openxmlformats.org/officeDocument/2006/relationships" r:id="rId1"/>
        </xdr:cNvPr>
        <xdr:cNvSpPr/>
      </xdr:nvSpPr>
      <xdr:spPr>
        <a:xfrm>
          <a:off x="628650" y="3267075"/>
          <a:ext cx="1333500" cy="552450"/>
        </a:xfrm>
        <a:prstGeom prst="roundRect">
          <a:avLst>
            <a:gd name="adj" fmla="val 50000"/>
          </a:avLst>
        </a:prstGeom>
        <a:solidFill>
          <a:srgbClr val="FF3300"/>
        </a:solidFill>
        <a:ln>
          <a:noFill/>
        </a:ln>
        <a:effectLst>
          <a:glow rad="228600">
            <a:schemeClr val="accent6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>
              <a:latin typeface="TH SarabunIT๙" panose="020B0500040200020003" pitchFamily="34" charset="-34"/>
              <a:cs typeface="TH SarabunIT๙" panose="020B0500040200020003" pitchFamily="34" charset="-34"/>
            </a:rPr>
            <a:t>DATA</a:t>
          </a:r>
          <a:endParaRPr lang="th-TH" sz="2800" b="1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2</xdr:col>
      <xdr:colOff>590550</xdr:colOff>
      <xdr:row>8</xdr:row>
      <xdr:rowOff>28575</xdr:rowOff>
    </xdr:from>
    <xdr:to>
      <xdr:col>4</xdr:col>
      <xdr:colOff>552450</xdr:colOff>
      <xdr:row>9</xdr:row>
      <xdr:rowOff>285750</xdr:rowOff>
    </xdr:to>
    <xdr:sp macro="" textlink="">
      <xdr:nvSpPr>
        <xdr:cNvPr id="4" name="สี่เหลี่ยมผืนผ้ามุมมน 3">
          <a:hlinkClick xmlns:r="http://schemas.openxmlformats.org/officeDocument/2006/relationships" r:id="rId2"/>
        </xdr:cNvPr>
        <xdr:cNvSpPr/>
      </xdr:nvSpPr>
      <xdr:spPr>
        <a:xfrm>
          <a:off x="1962150" y="2390775"/>
          <a:ext cx="1333500" cy="552450"/>
        </a:xfrm>
        <a:prstGeom prst="roundRect">
          <a:avLst>
            <a:gd name="adj" fmla="val 50000"/>
          </a:avLst>
        </a:prstGeom>
        <a:solidFill>
          <a:srgbClr val="7030A0"/>
        </a:solidFill>
        <a:ln>
          <a:noFill/>
        </a:ln>
        <a:effectLst>
          <a:glow rad="228600">
            <a:schemeClr val="accent4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800" b="1">
              <a:latin typeface="TH SarabunIT๙" panose="020B0500040200020003" pitchFamily="34" charset="-34"/>
              <a:cs typeface="TH SarabunIT๙" panose="020B0500040200020003" pitchFamily="34" charset="-34"/>
            </a:rPr>
            <a:t>หน้าปก</a:t>
          </a:r>
        </a:p>
      </xdr:txBody>
    </xdr:sp>
    <xdr:clientData/>
  </xdr:twoCellAnchor>
  <xdr:twoCellAnchor>
    <xdr:from>
      <xdr:col>4</xdr:col>
      <xdr:colOff>619125</xdr:colOff>
      <xdr:row>11</xdr:row>
      <xdr:rowOff>28575</xdr:rowOff>
    </xdr:from>
    <xdr:to>
      <xdr:col>6</xdr:col>
      <xdr:colOff>581025</xdr:colOff>
      <xdr:row>12</xdr:row>
      <xdr:rowOff>285750</xdr:rowOff>
    </xdr:to>
    <xdr:sp macro="" textlink="">
      <xdr:nvSpPr>
        <xdr:cNvPr id="5" name="สี่เหลี่ยมผืนผ้ามุมมน 4">
          <a:hlinkClick xmlns:r="http://schemas.openxmlformats.org/officeDocument/2006/relationships" r:id="rId3"/>
        </xdr:cNvPr>
        <xdr:cNvSpPr/>
      </xdr:nvSpPr>
      <xdr:spPr>
        <a:xfrm>
          <a:off x="3362325" y="3276600"/>
          <a:ext cx="1333500" cy="552450"/>
        </a:xfrm>
        <a:prstGeom prst="roundRect">
          <a:avLst>
            <a:gd name="adj" fmla="val 50000"/>
          </a:avLst>
        </a:prstGeom>
        <a:solidFill>
          <a:srgbClr val="00B0F0"/>
        </a:solidFill>
        <a:ln>
          <a:noFill/>
        </a:ln>
        <a:effectLst>
          <a:glow rad="228600">
            <a:schemeClr val="accent1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800" b="1">
              <a:latin typeface="TH SarabunIT๙" panose="020B0500040200020003" pitchFamily="34" charset="-34"/>
              <a:cs typeface="TH SarabunIT๙" panose="020B0500040200020003" pitchFamily="34" charset="-34"/>
            </a:rPr>
            <a:t>ปพ.๕</a:t>
          </a:r>
        </a:p>
      </xdr:txBody>
    </xdr:sp>
    <xdr:clientData/>
  </xdr:twoCellAnchor>
  <xdr:twoCellAnchor>
    <xdr:from>
      <xdr:col>6</xdr:col>
      <xdr:colOff>609600</xdr:colOff>
      <xdr:row>8</xdr:row>
      <xdr:rowOff>28575</xdr:rowOff>
    </xdr:from>
    <xdr:to>
      <xdr:col>8</xdr:col>
      <xdr:colOff>571500</xdr:colOff>
      <xdr:row>9</xdr:row>
      <xdr:rowOff>285750</xdr:rowOff>
    </xdr:to>
    <xdr:sp macro="" textlink="">
      <xdr:nvSpPr>
        <xdr:cNvPr id="6" name="สี่เหลี่ยมผืนผ้ามุมมน 5">
          <a:hlinkClick xmlns:r="http://schemas.openxmlformats.org/officeDocument/2006/relationships" r:id="rId4"/>
        </xdr:cNvPr>
        <xdr:cNvSpPr/>
      </xdr:nvSpPr>
      <xdr:spPr>
        <a:xfrm>
          <a:off x="4724400" y="2390775"/>
          <a:ext cx="1333500" cy="552450"/>
        </a:xfrm>
        <a:prstGeom prst="roundRect">
          <a:avLst>
            <a:gd name="adj" fmla="val 50000"/>
          </a:avLst>
        </a:prstGeom>
        <a:solidFill>
          <a:srgbClr val="FFC000"/>
        </a:solidFill>
        <a:ln>
          <a:noFill/>
        </a:ln>
        <a:effectLst>
          <a:glow rad="101600">
            <a:srgbClr val="FFC000">
              <a:alpha val="60000"/>
            </a:srgb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latin typeface="TH SarabunIT๙" panose="020B0500040200020003" pitchFamily="34" charset="-34"/>
              <a:cs typeface="TH SarabunIT๙" panose="020B0500040200020003" pitchFamily="34" charset="-34"/>
            </a:rPr>
            <a:t>เวลาเรียน</a:t>
          </a:r>
          <a:r>
            <a:rPr lang="th-TH" sz="2000" b="1" baseline="0">
              <a:latin typeface="TH SarabunIT๙" panose="020B0500040200020003" pitchFamily="34" charset="-34"/>
              <a:cs typeface="TH SarabunIT๙" panose="020B0500040200020003" pitchFamily="34" charset="-34"/>
            </a:rPr>
            <a:t> ๑</a:t>
          </a:r>
          <a:endParaRPr lang="th-TH" sz="2000" b="1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8</xdr:col>
      <xdr:colOff>609600</xdr:colOff>
      <xdr:row>11</xdr:row>
      <xdr:rowOff>28575</xdr:rowOff>
    </xdr:from>
    <xdr:to>
      <xdr:col>10</xdr:col>
      <xdr:colOff>571500</xdr:colOff>
      <xdr:row>12</xdr:row>
      <xdr:rowOff>285750</xdr:rowOff>
    </xdr:to>
    <xdr:sp macro="" textlink="">
      <xdr:nvSpPr>
        <xdr:cNvPr id="7" name="สี่เหลี่ยมผืนผ้ามุมมน 6">
          <a:hlinkClick xmlns:r="http://schemas.openxmlformats.org/officeDocument/2006/relationships" r:id="rId5"/>
        </xdr:cNvPr>
        <xdr:cNvSpPr/>
      </xdr:nvSpPr>
      <xdr:spPr>
        <a:xfrm>
          <a:off x="6096000" y="3276600"/>
          <a:ext cx="1333500" cy="552450"/>
        </a:xfrm>
        <a:prstGeom prst="roundRect">
          <a:avLst>
            <a:gd name="adj" fmla="val 50000"/>
          </a:avLst>
        </a:prstGeom>
        <a:solidFill>
          <a:srgbClr val="FFFF00"/>
        </a:solidFill>
        <a:ln>
          <a:noFill/>
        </a:ln>
        <a:effectLst>
          <a:glow rad="101600">
            <a:srgbClr val="FFFF00">
              <a:alpha val="60000"/>
            </a:srgb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chemeClr val="tx2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เวลาเรียน</a:t>
          </a:r>
          <a:r>
            <a:rPr lang="th-TH" sz="2000" b="1" baseline="0">
              <a:solidFill>
                <a:schemeClr val="tx2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 ๒</a:t>
          </a:r>
          <a:endParaRPr lang="th-TH" sz="2000" b="1">
            <a:solidFill>
              <a:schemeClr val="tx2"/>
            </a:solidFill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10</xdr:col>
      <xdr:colOff>628650</xdr:colOff>
      <xdr:row>8</xdr:row>
      <xdr:rowOff>38100</xdr:rowOff>
    </xdr:from>
    <xdr:to>
      <xdr:col>12</xdr:col>
      <xdr:colOff>590550</xdr:colOff>
      <xdr:row>10</xdr:row>
      <xdr:rowOff>0</xdr:rowOff>
    </xdr:to>
    <xdr:sp macro="" textlink="">
      <xdr:nvSpPr>
        <xdr:cNvPr id="8" name="สี่เหลี่ยมผืนผ้ามุมมน 7">
          <a:hlinkClick xmlns:r="http://schemas.openxmlformats.org/officeDocument/2006/relationships" r:id="rId6"/>
        </xdr:cNvPr>
        <xdr:cNvSpPr/>
      </xdr:nvSpPr>
      <xdr:spPr>
        <a:xfrm>
          <a:off x="7486650" y="2400300"/>
          <a:ext cx="1333500" cy="552450"/>
        </a:xfrm>
        <a:prstGeom prst="roundRect">
          <a:avLst>
            <a:gd name="adj" fmla="val 50000"/>
          </a:avLst>
        </a:prstGeom>
        <a:solidFill>
          <a:schemeClr val="tx2"/>
        </a:solidFill>
        <a:ln>
          <a:noFill/>
        </a:ln>
        <a:effectLst>
          <a:glow rad="101600">
            <a:srgbClr val="002060">
              <a:alpha val="60000"/>
            </a:srgb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สรุปคะแนน</a:t>
          </a:r>
          <a:r>
            <a:rPr lang="en-US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A</a:t>
          </a:r>
          <a:r>
            <a:rPr lang="th-TH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๔</a:t>
          </a:r>
        </a:p>
      </xdr:txBody>
    </xdr:sp>
    <xdr:clientData/>
  </xdr:twoCellAnchor>
  <xdr:twoCellAnchor>
    <xdr:from>
      <xdr:col>12</xdr:col>
      <xdr:colOff>628650</xdr:colOff>
      <xdr:row>11</xdr:row>
      <xdr:rowOff>19050</xdr:rowOff>
    </xdr:from>
    <xdr:to>
      <xdr:col>14</xdr:col>
      <xdr:colOff>590550</xdr:colOff>
      <xdr:row>12</xdr:row>
      <xdr:rowOff>276225</xdr:rowOff>
    </xdr:to>
    <xdr:sp macro="" textlink="">
      <xdr:nvSpPr>
        <xdr:cNvPr id="9" name="สี่เหลี่ยมผืนผ้ามุมมน 8">
          <a:hlinkClick xmlns:r="http://schemas.openxmlformats.org/officeDocument/2006/relationships" r:id="rId7"/>
        </xdr:cNvPr>
        <xdr:cNvSpPr/>
      </xdr:nvSpPr>
      <xdr:spPr>
        <a:xfrm>
          <a:off x="8858250" y="3267075"/>
          <a:ext cx="1333500" cy="552450"/>
        </a:xfrm>
        <a:prstGeom prst="roundRect">
          <a:avLst>
            <a:gd name="adj" fmla="val 50000"/>
          </a:avLst>
        </a:prstGeom>
        <a:solidFill>
          <a:schemeClr val="accent6">
            <a:lumMod val="75000"/>
          </a:schemeClr>
        </a:solidFill>
        <a:ln>
          <a:noFill/>
        </a:ln>
        <a:effectLst>
          <a:glow rad="101600">
            <a:schemeClr val="accent6">
              <a:alpha val="6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latin typeface="TH SarabunIT๙" panose="020B0500040200020003" pitchFamily="34" charset="-34"/>
              <a:cs typeface="TH SarabunIT๙" panose="020B0500040200020003" pitchFamily="34" charset="-34"/>
            </a:rPr>
            <a:t>สรุปผลการเรียน</a:t>
          </a:r>
        </a:p>
      </xdr:txBody>
    </xdr:sp>
    <xdr:clientData/>
  </xdr:twoCellAnchor>
  <xdr:twoCellAnchor>
    <xdr:from>
      <xdr:col>14</xdr:col>
      <xdr:colOff>619125</xdr:colOff>
      <xdr:row>8</xdr:row>
      <xdr:rowOff>38100</xdr:rowOff>
    </xdr:from>
    <xdr:to>
      <xdr:col>16</xdr:col>
      <xdr:colOff>581025</xdr:colOff>
      <xdr:row>10</xdr:row>
      <xdr:rowOff>0</xdr:rowOff>
    </xdr:to>
    <xdr:sp macro="" textlink="">
      <xdr:nvSpPr>
        <xdr:cNvPr id="10" name="สี่เหลี่ยมผืนผ้ามุมมน 9">
          <a:hlinkClick xmlns:r="http://schemas.openxmlformats.org/officeDocument/2006/relationships" r:id="rId8"/>
        </xdr:cNvPr>
        <xdr:cNvSpPr/>
      </xdr:nvSpPr>
      <xdr:spPr>
        <a:xfrm>
          <a:off x="10220325" y="2400300"/>
          <a:ext cx="1333500" cy="552450"/>
        </a:xfrm>
        <a:prstGeom prst="roundRect">
          <a:avLst>
            <a:gd name="adj" fmla="val 50000"/>
          </a:avLst>
        </a:prstGeom>
        <a:solidFill>
          <a:srgbClr val="00B050"/>
        </a:solidFill>
        <a:ln>
          <a:noFill/>
        </a:ln>
        <a:effectLst>
          <a:glow rad="101600">
            <a:schemeClr val="accent2">
              <a:lumMod val="40000"/>
              <a:lumOff val="60000"/>
              <a:alpha val="6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latin typeface="TH SarabunIT๙" panose="020B0500040200020003" pitchFamily="34" charset="-34"/>
              <a:cs typeface="TH SarabunIT๙" panose="020B0500040200020003" pitchFamily="34" charset="-34"/>
            </a:rPr>
            <a:t>คำแนะนำ</a:t>
          </a:r>
        </a:p>
      </xdr:txBody>
    </xdr:sp>
    <xdr:clientData/>
  </xdr:twoCellAnchor>
  <xdr:twoCellAnchor editAs="oneCell">
    <xdr:from>
      <xdr:col>2</xdr:col>
      <xdr:colOff>400050</xdr:colOff>
      <xdr:row>0</xdr:row>
      <xdr:rowOff>85725</xdr:rowOff>
    </xdr:from>
    <xdr:to>
      <xdr:col>5</xdr:col>
      <xdr:colOff>180975</xdr:colOff>
      <xdr:row>6</xdr:row>
      <xdr:rowOff>18505</xdr:rowOff>
    </xdr:to>
    <xdr:pic>
      <xdr:nvPicPr>
        <xdr:cNvPr id="12" name="Picture 11"/>
        <xdr:cNvPicPr>
          <a:picLocks noChangeAspect="1"/>
        </xdr:cNvPicPr>
      </xdr:nvPicPr>
      <xdr:blipFill rotWithShape="1"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91" t="12062" r="10000" b="12062"/>
        <a:stretch/>
      </xdr:blipFill>
      <xdr:spPr>
        <a:xfrm>
          <a:off x="1771650" y="85725"/>
          <a:ext cx="1838325" cy="170443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381001</xdr:colOff>
      <xdr:row>10</xdr:row>
      <xdr:rowOff>133350</xdr:rowOff>
    </xdr:from>
    <xdr:to>
      <xdr:col>9</xdr:col>
      <xdr:colOff>1123951</xdr:colOff>
      <xdr:row>12</xdr:row>
      <xdr:rowOff>200025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1"/>
        </xdr:cNvPr>
        <xdr:cNvSpPr/>
      </xdr:nvSpPr>
      <xdr:spPr>
        <a:xfrm>
          <a:off x="9725026" y="291465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</xdr:col>
      <xdr:colOff>2878667</xdr:colOff>
      <xdr:row>4</xdr:row>
      <xdr:rowOff>21165</xdr:rowOff>
    </xdr:from>
    <xdr:to>
      <xdr:col>1</xdr:col>
      <xdr:colOff>3926416</xdr:colOff>
      <xdr:row>8</xdr:row>
      <xdr:rowOff>211666</xdr:rowOff>
    </xdr:to>
    <xdr:sp macro="" textlink="">
      <xdr:nvSpPr>
        <xdr:cNvPr id="2" name="TextBox 1"/>
        <xdr:cNvSpPr txBox="1"/>
      </xdr:nvSpPr>
      <xdr:spPr>
        <a:xfrm>
          <a:off x="4667250" y="1248832"/>
          <a:ext cx="1047749" cy="1206501"/>
        </a:xfrm>
        <a:prstGeom prst="rect">
          <a:avLst/>
        </a:prstGeom>
        <a:solidFill>
          <a:srgbClr val="FFC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h-TH" sz="1100"/>
            <a:t>คลิกเลือกได้</a:t>
          </a:r>
        </a:p>
      </xdr:txBody>
    </xdr:sp>
    <xdr:clientData/>
  </xdr:twoCellAnchor>
  <xdr:twoCellAnchor>
    <xdr:from>
      <xdr:col>1</xdr:col>
      <xdr:colOff>2719916</xdr:colOff>
      <xdr:row>4</xdr:row>
      <xdr:rowOff>31750</xdr:rowOff>
    </xdr:from>
    <xdr:to>
      <xdr:col>1</xdr:col>
      <xdr:colOff>3016249</xdr:colOff>
      <xdr:row>8</xdr:row>
      <xdr:rowOff>179916</xdr:rowOff>
    </xdr:to>
    <xdr:sp macro="" textlink="">
      <xdr:nvSpPr>
        <xdr:cNvPr id="4" name="วงเล็บปีกกาขวา 3"/>
        <xdr:cNvSpPr/>
      </xdr:nvSpPr>
      <xdr:spPr>
        <a:xfrm>
          <a:off x="4508499" y="1259417"/>
          <a:ext cx="296333" cy="1164166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2</xdr:row>
      <xdr:rowOff>0</xdr:rowOff>
    </xdr:from>
    <xdr:to>
      <xdr:col>19</xdr:col>
      <xdr:colOff>57150</xdr:colOff>
      <xdr:row>4</xdr:row>
      <xdr:rowOff>171450</xdr:rowOff>
    </xdr:to>
    <xdr:sp macro="" textlink="">
      <xdr:nvSpPr>
        <xdr:cNvPr id="4" name="ตัดมุมสี่เหลี่ยมผืนผ้าด้านทแยงมุม 3">
          <a:hlinkClick xmlns:r="http://schemas.openxmlformats.org/officeDocument/2006/relationships" r:id="rId1"/>
        </xdr:cNvPr>
        <xdr:cNvSpPr/>
      </xdr:nvSpPr>
      <xdr:spPr>
        <a:xfrm>
          <a:off x="6819900" y="36195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 editAs="oneCell">
    <xdr:from>
      <xdr:col>6</xdr:col>
      <xdr:colOff>47624</xdr:colOff>
      <xdr:row>1</xdr:row>
      <xdr:rowOff>9524</xdr:rowOff>
    </xdr:from>
    <xdr:to>
      <xdr:col>9</xdr:col>
      <xdr:colOff>184150</xdr:colOff>
      <xdr:row>7</xdr:row>
      <xdr:rowOff>114300</xdr:rowOff>
    </xdr:to>
    <xdr:pic>
      <xdr:nvPicPr>
        <xdr:cNvPr id="3" name="Picture 2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91" t="12062" r="10000" b="12062"/>
        <a:stretch/>
      </xdr:blipFill>
      <xdr:spPr>
        <a:xfrm>
          <a:off x="2390774" y="190499"/>
          <a:ext cx="1308101" cy="123825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13608</xdr:colOff>
      <xdr:row>1</xdr:row>
      <xdr:rowOff>86476</xdr:rowOff>
    </xdr:from>
    <xdr:ext cx="857249" cy="759138"/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13608" y="467476"/>
          <a:ext cx="857249" cy="759138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th-TH" sz="1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54429</xdr:colOff>
      <xdr:row>1</xdr:row>
      <xdr:rowOff>6803</xdr:rowOff>
    </xdr:from>
    <xdr:to>
      <xdr:col>1</xdr:col>
      <xdr:colOff>700767</xdr:colOff>
      <xdr:row>2</xdr:row>
      <xdr:rowOff>115661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54429" y="346982"/>
          <a:ext cx="1129392" cy="374197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1"/>
        </xdr:cNvPr>
        <xdr:cNvSpPr/>
      </xdr:nvSpPr>
      <xdr:spPr>
        <a:xfrm>
          <a:off x="236587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4" name="ตัดมุมสี่เหลี่ยมผืนผ้าด้านทแยงมุม 3">
          <a:hlinkClick xmlns:r="http://schemas.openxmlformats.org/officeDocument/2006/relationships" r:id="rId1"/>
        </xdr:cNvPr>
        <xdr:cNvSpPr/>
      </xdr:nvSpPr>
      <xdr:spPr>
        <a:xfrm>
          <a:off x="236587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0</xdr:col>
      <xdr:colOff>81640</xdr:colOff>
      <xdr:row>1</xdr:row>
      <xdr:rowOff>20411</xdr:rowOff>
    </xdr:from>
    <xdr:to>
      <xdr:col>1</xdr:col>
      <xdr:colOff>700764</xdr:colOff>
      <xdr:row>2</xdr:row>
      <xdr:rowOff>115661</xdr:rowOff>
    </xdr:to>
    <xdr:sp macro="" textlink="">
      <xdr:nvSpPr>
        <xdr:cNvPr id="5" name="ตัดมุมสี่เหลี่ยมผืนผ้าด้านทแยงมุม 4">
          <a:hlinkClick xmlns:r="http://schemas.openxmlformats.org/officeDocument/2006/relationships" r:id="rId1"/>
        </xdr:cNvPr>
        <xdr:cNvSpPr/>
      </xdr:nvSpPr>
      <xdr:spPr>
        <a:xfrm>
          <a:off x="81640" y="363311"/>
          <a:ext cx="1104899" cy="361950"/>
        </a:xfrm>
        <a:prstGeom prst="snip2DiagRect">
          <a:avLst>
            <a:gd name="adj1" fmla="val 0"/>
            <a:gd name="adj2" fmla="val 50000"/>
          </a:avLst>
        </a:prstGeom>
        <a:gradFill>
          <a:gsLst>
            <a:gs pos="0">
              <a:srgbClr val="7030A0"/>
            </a:gs>
            <a:gs pos="80000">
              <a:schemeClr val="accent6">
                <a:shade val="93000"/>
                <a:satMod val="130000"/>
              </a:schemeClr>
            </a:gs>
            <a:gs pos="100000">
              <a:schemeClr val="accent6">
                <a:shade val="94000"/>
                <a:satMod val="135000"/>
              </a:schemeClr>
            </a:gs>
          </a:gsLst>
        </a:gra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6" name="ตัดมุมสี่เหลี่ยมผืนผ้าด้านทแยงมุม 5">
          <a:hlinkClick xmlns:r="http://schemas.openxmlformats.org/officeDocument/2006/relationships" r:id="rId1"/>
        </xdr:cNvPr>
        <xdr:cNvSpPr/>
      </xdr:nvSpPr>
      <xdr:spPr>
        <a:xfrm>
          <a:off x="230872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1</xdr:row>
      <xdr:rowOff>13607</xdr:rowOff>
    </xdr:from>
    <xdr:to>
      <xdr:col>1</xdr:col>
      <xdr:colOff>693964</xdr:colOff>
      <xdr:row>2</xdr:row>
      <xdr:rowOff>122464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47625" y="353786"/>
          <a:ext cx="1129393" cy="374196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1"/>
        </xdr:cNvPr>
        <xdr:cNvSpPr/>
      </xdr:nvSpPr>
      <xdr:spPr>
        <a:xfrm>
          <a:off x="236587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0</xdr:col>
      <xdr:colOff>68036</xdr:colOff>
      <xdr:row>1</xdr:row>
      <xdr:rowOff>20409</xdr:rowOff>
    </xdr:from>
    <xdr:to>
      <xdr:col>1</xdr:col>
      <xdr:colOff>693964</xdr:colOff>
      <xdr:row>2</xdr:row>
      <xdr:rowOff>115661</xdr:rowOff>
    </xdr:to>
    <xdr:sp macro="" textlink="">
      <xdr:nvSpPr>
        <xdr:cNvPr id="4" name="ตัดมุมสี่เหลี่ยมผืนผ้าด้านทแยงมุม 3">
          <a:hlinkClick xmlns:r="http://schemas.openxmlformats.org/officeDocument/2006/relationships" r:id="rId1"/>
        </xdr:cNvPr>
        <xdr:cNvSpPr/>
      </xdr:nvSpPr>
      <xdr:spPr>
        <a:xfrm>
          <a:off x="68036" y="363309"/>
          <a:ext cx="1111703" cy="361952"/>
        </a:xfrm>
        <a:prstGeom prst="snip2DiagRect">
          <a:avLst>
            <a:gd name="adj1" fmla="val 0"/>
            <a:gd name="adj2" fmla="val 50000"/>
          </a:avLst>
        </a:prstGeom>
        <a:gradFill>
          <a:gsLst>
            <a:gs pos="0">
              <a:srgbClr val="7030A0"/>
            </a:gs>
            <a:gs pos="80000">
              <a:schemeClr val="accent6">
                <a:shade val="93000"/>
                <a:satMod val="130000"/>
              </a:schemeClr>
            </a:gs>
            <a:gs pos="100000">
              <a:schemeClr val="accent6">
                <a:shade val="94000"/>
                <a:satMod val="135000"/>
              </a:schemeClr>
            </a:gs>
          </a:gsLst>
        </a:gra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5" name="ตัดมุมสี่เหลี่ยมผืนผ้าด้านทแยงมุม 4">
          <a:hlinkClick xmlns:r="http://schemas.openxmlformats.org/officeDocument/2006/relationships" r:id="rId1"/>
        </xdr:cNvPr>
        <xdr:cNvSpPr/>
      </xdr:nvSpPr>
      <xdr:spPr>
        <a:xfrm>
          <a:off x="230872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190500</xdr:colOff>
      <xdr:row>1</xdr:row>
      <xdr:rowOff>28575</xdr:rowOff>
    </xdr:from>
    <xdr:to>
      <xdr:col>10</xdr:col>
      <xdr:colOff>247650</xdr:colOff>
      <xdr:row>3</xdr:row>
      <xdr:rowOff>66675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6915150" y="32385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200026</xdr:colOff>
      <xdr:row>21</xdr:row>
      <xdr:rowOff>123092</xdr:rowOff>
    </xdr:from>
    <xdr:to>
      <xdr:col>7</xdr:col>
      <xdr:colOff>518014</xdr:colOff>
      <xdr:row>31</xdr:row>
      <xdr:rowOff>60814</xdr:rowOff>
    </xdr:to>
    <xdr:graphicFrame macro="">
      <xdr:nvGraphicFramePr>
        <xdr:cNvPr id="2" name="แผนภูมิ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85725</xdr:colOff>
      <xdr:row>1</xdr:row>
      <xdr:rowOff>314325</xdr:rowOff>
    </xdr:from>
    <xdr:to>
      <xdr:col>11</xdr:col>
      <xdr:colOff>781050</xdr:colOff>
      <xdr:row>3</xdr:row>
      <xdr:rowOff>247650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2"/>
        </xdr:cNvPr>
        <xdr:cNvSpPr/>
      </xdr:nvSpPr>
      <xdr:spPr>
        <a:xfrm>
          <a:off x="7467600" y="638175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1</xdr:row>
      <xdr:rowOff>28575</xdr:rowOff>
    </xdr:from>
    <xdr:to>
      <xdr:col>17</xdr:col>
      <xdr:colOff>57150</xdr:colOff>
      <xdr:row>2</xdr:row>
      <xdr:rowOff>219075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9915525" y="41910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P\Desktop\&#3611;&#3614;.5%20255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ข้อมูลปก"/>
      <sheetName val="ปกหน้า"/>
      <sheetName val="ปพ5"/>
      <sheetName val="สรุปผลการเรียน"/>
      <sheetName val="Referen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">
          <cell r="A2" t="str">
            <v>ประถมศึกษาปีที่ 4/1</v>
          </cell>
        </row>
        <row r="3">
          <cell r="A3" t="str">
            <v>ประถมศึกษาปีที่ 4/2</v>
          </cell>
        </row>
        <row r="4">
          <cell r="A4" t="str">
            <v>ประถมศึกษาปีที่ 4/3</v>
          </cell>
        </row>
        <row r="5">
          <cell r="A5" t="str">
            <v>ประถมศึกษาปีที่ 4/4</v>
          </cell>
        </row>
        <row r="6">
          <cell r="A6" t="str">
            <v>ประถมศึกษาปีที่ 4/5</v>
          </cell>
        </row>
        <row r="7">
          <cell r="A7" t="str">
            <v>ประถมศึกษาปีที่ 4/6</v>
          </cell>
        </row>
        <row r="8">
          <cell r="A8" t="str">
            <v>ประถมศึกษาปีที่ 4/7</v>
          </cell>
        </row>
        <row r="9">
          <cell r="A9" t="str">
            <v>ประถมศึกษาปีที่ 4/8</v>
          </cell>
        </row>
        <row r="10">
          <cell r="A10" t="str">
            <v>ประถมศึกษาปีที่ 4/9</v>
          </cell>
        </row>
        <row r="11">
          <cell r="A11" t="str">
            <v>ประถมศึกษาปีที่ 4/10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4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5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R15"/>
  <sheetViews>
    <sheetView zoomScaleNormal="100" workbookViewId="0">
      <pane ySplit="15" topLeftCell="A16" activePane="bottomLeft" state="frozen"/>
      <selection pane="bottomLeft"/>
    </sheetView>
  </sheetViews>
  <sheetFormatPr defaultRowHeight="23.25" x14ac:dyDescent="0.35"/>
  <cols>
    <col min="1" max="17" width="9" style="329"/>
    <col min="18" max="18" width="10.875" style="329" customWidth="1"/>
    <col min="19" max="16384" width="9" style="329"/>
  </cols>
  <sheetData>
    <row r="1" spans="1:18" x14ac:dyDescent="0.35">
      <c r="A1" s="330"/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  <c r="R1" s="330"/>
    </row>
    <row r="2" spans="1:18" x14ac:dyDescent="0.35">
      <c r="A2" s="330"/>
      <c r="B2" s="330"/>
      <c r="C2" s="330"/>
      <c r="D2" s="330"/>
      <c r="E2" s="330"/>
      <c r="F2" s="330"/>
      <c r="G2" s="418" t="s">
        <v>219</v>
      </c>
      <c r="H2" s="418"/>
      <c r="I2" s="418"/>
      <c r="J2" s="418"/>
      <c r="K2" s="418"/>
      <c r="L2" s="418"/>
      <c r="M2" s="418"/>
      <c r="N2" s="418"/>
      <c r="O2" s="418"/>
      <c r="P2" s="418"/>
      <c r="Q2" s="330"/>
      <c r="R2" s="330"/>
    </row>
    <row r="3" spans="1:18" ht="23.25" customHeight="1" x14ac:dyDescent="0.35">
      <c r="A3" s="330"/>
      <c r="B3" s="330"/>
      <c r="C3" s="330"/>
      <c r="D3" s="330"/>
      <c r="E3" s="330"/>
      <c r="F3" s="330"/>
      <c r="G3" s="418"/>
      <c r="H3" s="418"/>
      <c r="I3" s="418"/>
      <c r="J3" s="418"/>
      <c r="K3" s="418"/>
      <c r="L3" s="418"/>
      <c r="M3" s="418"/>
      <c r="N3" s="418"/>
      <c r="O3" s="418"/>
      <c r="P3" s="418"/>
      <c r="Q3" s="330"/>
      <c r="R3" s="330"/>
    </row>
    <row r="4" spans="1:18" ht="23.25" customHeight="1" x14ac:dyDescent="0.35">
      <c r="A4" s="330"/>
      <c r="B4" s="330"/>
      <c r="C4" s="330"/>
      <c r="D4" s="330"/>
      <c r="E4" s="330"/>
      <c r="F4" s="330"/>
      <c r="G4" s="418"/>
      <c r="H4" s="418"/>
      <c r="I4" s="418"/>
      <c r="J4" s="418"/>
      <c r="K4" s="418"/>
      <c r="L4" s="418"/>
      <c r="M4" s="418"/>
      <c r="N4" s="418"/>
      <c r="O4" s="418"/>
      <c r="P4" s="418"/>
      <c r="Q4" s="330"/>
      <c r="R4" s="330"/>
    </row>
    <row r="5" spans="1:18" ht="23.25" customHeight="1" x14ac:dyDescent="0.35">
      <c r="A5" s="330"/>
      <c r="B5" s="330"/>
      <c r="C5" s="330"/>
      <c r="D5" s="330"/>
      <c r="E5" s="330"/>
      <c r="F5" s="330"/>
      <c r="G5" s="418"/>
      <c r="H5" s="418"/>
      <c r="I5" s="418"/>
      <c r="J5" s="418"/>
      <c r="K5" s="418"/>
      <c r="L5" s="418"/>
      <c r="M5" s="418"/>
      <c r="N5" s="418"/>
      <c r="O5" s="418"/>
      <c r="P5" s="418"/>
      <c r="Q5" s="330"/>
      <c r="R5" s="330"/>
    </row>
    <row r="6" spans="1:18" ht="23.25" customHeight="1" x14ac:dyDescent="0.35">
      <c r="A6" s="330"/>
      <c r="B6" s="330"/>
      <c r="C6" s="330"/>
      <c r="D6" s="330"/>
      <c r="E6" s="330"/>
      <c r="F6" s="330"/>
      <c r="G6" s="330"/>
      <c r="H6" s="330"/>
      <c r="I6" s="330"/>
      <c r="J6" s="419" t="s">
        <v>229</v>
      </c>
      <c r="K6" s="420"/>
      <c r="L6" s="420"/>
      <c r="M6" s="420"/>
      <c r="N6" s="330"/>
      <c r="O6" s="330"/>
      <c r="P6" s="330"/>
      <c r="Q6" s="330"/>
      <c r="R6" s="330"/>
    </row>
    <row r="7" spans="1:18" ht="21.75" customHeight="1" x14ac:dyDescent="0.35">
      <c r="A7" s="331"/>
      <c r="B7" s="331"/>
      <c r="C7" s="331"/>
      <c r="D7" s="331"/>
      <c r="E7" s="331"/>
      <c r="F7" s="331"/>
      <c r="G7" s="331"/>
      <c r="H7" s="331"/>
      <c r="I7" s="331"/>
      <c r="J7" s="420"/>
      <c r="K7" s="420"/>
      <c r="L7" s="420"/>
      <c r="M7" s="420"/>
      <c r="N7" s="331"/>
      <c r="O7" s="331"/>
      <c r="P7" s="331"/>
      <c r="Q7" s="331"/>
      <c r="R7" s="331"/>
    </row>
    <row r="8" spans="1:18" ht="21.75" customHeight="1" x14ac:dyDescent="0.35">
      <c r="A8" s="384"/>
      <c r="B8" s="384"/>
      <c r="C8" s="384"/>
      <c r="D8" s="384"/>
      <c r="E8" s="384"/>
      <c r="F8" s="384"/>
      <c r="G8" s="384"/>
      <c r="H8" s="384"/>
      <c r="I8" s="384"/>
      <c r="J8" s="384"/>
      <c r="K8" s="384"/>
      <c r="L8" s="384"/>
      <c r="M8" s="384"/>
      <c r="N8" s="384"/>
      <c r="O8" s="384"/>
      <c r="P8" s="384"/>
      <c r="Q8" s="384"/>
      <c r="R8" s="384"/>
    </row>
    <row r="9" spans="1:18" ht="21.75" customHeight="1" x14ac:dyDescent="0.35">
      <c r="A9" s="384"/>
      <c r="B9" s="384"/>
      <c r="C9" s="384"/>
      <c r="D9" s="384"/>
      <c r="E9" s="384"/>
      <c r="F9" s="384"/>
      <c r="G9" s="384"/>
      <c r="H9" s="384"/>
      <c r="I9" s="384"/>
      <c r="J9" s="384"/>
      <c r="K9" s="384"/>
      <c r="L9" s="385"/>
      <c r="M9" s="384"/>
      <c r="N9" s="384"/>
      <c r="O9" s="384"/>
      <c r="P9" s="384"/>
      <c r="Q9" s="384"/>
      <c r="R9" s="384"/>
    </row>
    <row r="10" spans="1:18" ht="21.75" customHeight="1" x14ac:dyDescent="0.35">
      <c r="A10" s="384"/>
      <c r="B10" s="384"/>
      <c r="C10" s="384"/>
      <c r="D10" s="384"/>
      <c r="E10" s="384"/>
      <c r="F10" s="384"/>
      <c r="G10" s="384"/>
      <c r="H10" s="384"/>
      <c r="I10" s="384"/>
      <c r="J10" s="384"/>
      <c r="K10" s="384"/>
      <c r="L10" s="384"/>
      <c r="M10" s="384"/>
      <c r="N10" s="384"/>
      <c r="O10" s="384"/>
      <c r="P10" s="384"/>
      <c r="Q10" s="384"/>
      <c r="R10" s="384"/>
    </row>
    <row r="11" spans="1:18" ht="21.75" customHeight="1" x14ac:dyDescent="0.35">
      <c r="A11" s="384"/>
      <c r="B11" s="384"/>
      <c r="C11" s="384"/>
      <c r="D11" s="384"/>
      <c r="E11" s="384"/>
      <c r="F11" s="384"/>
      <c r="G11" s="384"/>
      <c r="H11" s="384"/>
      <c r="I11" s="384"/>
      <c r="J11" s="384"/>
      <c r="K11" s="385"/>
      <c r="L11" s="384"/>
      <c r="M11" s="384"/>
      <c r="N11" s="384"/>
      <c r="O11" s="384"/>
      <c r="P11" s="384"/>
      <c r="Q11" s="384"/>
      <c r="R11" s="384"/>
    </row>
    <row r="12" spans="1:18" ht="21.75" customHeight="1" x14ac:dyDescent="0.35">
      <c r="A12" s="384"/>
      <c r="B12" s="384"/>
      <c r="C12" s="384"/>
      <c r="D12" s="384"/>
      <c r="E12" s="384"/>
      <c r="F12" s="384"/>
      <c r="G12" s="384"/>
      <c r="H12" s="384"/>
      <c r="I12" s="384"/>
      <c r="J12" s="384"/>
      <c r="K12" s="384"/>
      <c r="L12" s="384"/>
      <c r="M12" s="384"/>
      <c r="N12" s="384"/>
      <c r="O12" s="384"/>
      <c r="P12" s="384"/>
      <c r="Q12" s="384"/>
      <c r="R12" s="384"/>
    </row>
    <row r="13" spans="1:18" ht="21.75" customHeight="1" x14ac:dyDescent="0.35">
      <c r="A13" s="384"/>
      <c r="B13" s="384"/>
      <c r="C13" s="384"/>
      <c r="D13" s="384"/>
      <c r="E13" s="384"/>
      <c r="F13" s="384"/>
      <c r="G13" s="384"/>
      <c r="H13" s="384"/>
      <c r="I13" s="384"/>
      <c r="J13" s="384"/>
      <c r="K13" s="384"/>
      <c r="L13" s="384"/>
      <c r="M13" s="384"/>
      <c r="N13" s="384"/>
      <c r="O13" s="384"/>
      <c r="P13" s="384"/>
      <c r="Q13" s="384"/>
      <c r="R13" s="384"/>
    </row>
    <row r="14" spans="1:18" ht="21.75" customHeight="1" x14ac:dyDescent="0.35">
      <c r="A14" s="384"/>
      <c r="B14" s="384"/>
      <c r="C14" s="384"/>
      <c r="D14" s="384"/>
      <c r="E14" s="384"/>
      <c r="F14" s="384"/>
      <c r="G14" s="384"/>
      <c r="H14" s="384"/>
      <c r="I14" s="384"/>
      <c r="J14" s="384"/>
      <c r="K14" s="384"/>
      <c r="L14" s="384"/>
      <c r="M14" s="384"/>
      <c r="N14" s="384"/>
      <c r="O14" s="384"/>
      <c r="P14" s="384"/>
      <c r="Q14" s="384"/>
      <c r="R14" s="384"/>
    </row>
    <row r="15" spans="1:18" ht="21.75" customHeight="1" x14ac:dyDescent="0.35">
      <c r="A15" s="384"/>
      <c r="B15" s="384"/>
      <c r="C15" s="384"/>
      <c r="D15" s="384"/>
      <c r="E15" s="384"/>
      <c r="F15" s="384"/>
      <c r="G15" s="384"/>
      <c r="H15" s="384"/>
      <c r="I15" s="384"/>
      <c r="J15" s="384"/>
      <c r="K15" s="384"/>
      <c r="L15" s="384"/>
      <c r="M15" s="384"/>
      <c r="N15" s="384"/>
      <c r="O15" s="384"/>
      <c r="P15" s="384"/>
      <c r="Q15" s="384"/>
      <c r="R15" s="384"/>
    </row>
  </sheetData>
  <sheetProtection password="B007" sheet="1" objects="1" scenarios="1"/>
  <mergeCells count="2">
    <mergeCell ref="G2:P5"/>
    <mergeCell ref="J6:M7"/>
  </mergeCells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Q55"/>
  <sheetViews>
    <sheetView tabSelected="1" zoomScale="93" zoomScaleNormal="93" workbookViewId="0">
      <pane xSplit="10" ySplit="17" topLeftCell="K18" activePane="bottomRight" state="frozen"/>
      <selection pane="topRight" activeCell="K1" sqref="K1"/>
      <selection pane="bottomLeft" activeCell="A18" sqref="A18"/>
      <selection pane="bottomRight" activeCell="B12" sqref="B12"/>
    </sheetView>
  </sheetViews>
  <sheetFormatPr defaultRowHeight="20.25" x14ac:dyDescent="0.3"/>
  <cols>
    <col min="1" max="1" width="23.5" style="325" customWidth="1"/>
    <col min="2" max="2" width="51.875" style="325" customWidth="1"/>
    <col min="3" max="3" width="6.875" style="325" customWidth="1"/>
    <col min="4" max="4" width="5.875" style="325" customWidth="1"/>
    <col min="5" max="9" width="9" style="325"/>
    <col min="10" max="10" width="15.5" style="325" customWidth="1"/>
    <col min="11" max="12" width="9" style="325"/>
    <col min="13" max="13" width="0" style="325" hidden="1" customWidth="1"/>
    <col min="14" max="14" width="17" style="325" hidden="1" customWidth="1"/>
    <col min="15" max="15" width="19" style="325" hidden="1" customWidth="1"/>
    <col min="16" max="16" width="25.25" style="325" hidden="1" customWidth="1"/>
    <col min="17" max="17" width="16.5" style="325" hidden="1" customWidth="1"/>
    <col min="18" max="18" width="0" style="325" hidden="1" customWidth="1"/>
    <col min="19" max="16384" width="9" style="325"/>
  </cols>
  <sheetData>
    <row r="1" spans="1:17" ht="36.75" customHeight="1" thickBot="1" x14ac:dyDescent="0.35">
      <c r="A1" s="428" t="s">
        <v>213</v>
      </c>
      <c r="B1" s="428"/>
    </row>
    <row r="2" spans="1:17" x14ac:dyDescent="0.3">
      <c r="A2" s="429" t="s">
        <v>65</v>
      </c>
      <c r="B2" s="429"/>
      <c r="D2" s="430" t="s">
        <v>106</v>
      </c>
      <c r="E2" s="431"/>
      <c r="F2" s="431"/>
      <c r="G2" s="431"/>
      <c r="H2" s="431"/>
      <c r="I2" s="431"/>
      <c r="J2" s="432"/>
      <c r="N2" s="386" t="s">
        <v>237</v>
      </c>
      <c r="O2" s="325" t="s">
        <v>119</v>
      </c>
      <c r="P2" s="325" t="s">
        <v>282</v>
      </c>
      <c r="Q2" s="325" t="s">
        <v>301</v>
      </c>
    </row>
    <row r="3" spans="1:17" x14ac:dyDescent="0.3">
      <c r="A3" s="394" t="s">
        <v>66</v>
      </c>
      <c r="B3" s="395" t="s">
        <v>117</v>
      </c>
      <c r="D3" s="332"/>
      <c r="E3" s="433" t="s">
        <v>110</v>
      </c>
      <c r="F3" s="433"/>
      <c r="G3" s="433"/>
      <c r="H3" s="433"/>
      <c r="I3" s="433"/>
      <c r="J3" s="434"/>
      <c r="N3" s="386" t="s">
        <v>238</v>
      </c>
      <c r="O3" s="325" t="s">
        <v>259</v>
      </c>
      <c r="P3" s="325" t="s">
        <v>283</v>
      </c>
      <c r="Q3" s="325" t="s">
        <v>305</v>
      </c>
    </row>
    <row r="4" spans="1:17" x14ac:dyDescent="0.3">
      <c r="A4" s="394" t="s">
        <v>67</v>
      </c>
      <c r="B4" s="395" t="s">
        <v>116</v>
      </c>
      <c r="D4" s="332"/>
      <c r="E4" s="433" t="s">
        <v>111</v>
      </c>
      <c r="F4" s="433"/>
      <c r="G4" s="433"/>
      <c r="H4" s="433"/>
      <c r="I4" s="433"/>
      <c r="J4" s="434"/>
      <c r="N4" s="386" t="s">
        <v>239</v>
      </c>
      <c r="O4" s="325" t="s">
        <v>260</v>
      </c>
      <c r="P4" s="325" t="s">
        <v>236</v>
      </c>
      <c r="Q4" s="325" t="s">
        <v>304</v>
      </c>
    </row>
    <row r="5" spans="1:17" x14ac:dyDescent="0.3">
      <c r="A5" s="394" t="s">
        <v>68</v>
      </c>
      <c r="B5" s="396" t="s">
        <v>239</v>
      </c>
      <c r="D5" s="332"/>
      <c r="E5" s="433" t="s">
        <v>216</v>
      </c>
      <c r="F5" s="433"/>
      <c r="G5" s="433"/>
      <c r="H5" s="433"/>
      <c r="I5" s="433"/>
      <c r="J5" s="434"/>
      <c r="N5" s="386" t="s">
        <v>240</v>
      </c>
      <c r="O5" s="325" t="s">
        <v>261</v>
      </c>
      <c r="P5" s="325" t="s">
        <v>284</v>
      </c>
      <c r="Q5" s="325" t="s">
        <v>303</v>
      </c>
    </row>
    <row r="6" spans="1:17" x14ac:dyDescent="0.3">
      <c r="A6" s="394" t="s">
        <v>69</v>
      </c>
      <c r="B6" s="396" t="s">
        <v>270</v>
      </c>
      <c r="D6" s="332"/>
      <c r="E6" s="327" t="s">
        <v>112</v>
      </c>
      <c r="F6" s="327"/>
      <c r="G6" s="327"/>
      <c r="H6" s="327"/>
      <c r="I6" s="327"/>
      <c r="J6" s="333"/>
      <c r="N6" s="386" t="s">
        <v>241</v>
      </c>
      <c r="O6" s="325" t="s">
        <v>262</v>
      </c>
      <c r="P6" s="325" t="s">
        <v>285</v>
      </c>
      <c r="Q6" s="325" t="s">
        <v>302</v>
      </c>
    </row>
    <row r="7" spans="1:17" x14ac:dyDescent="0.3">
      <c r="A7" s="394" t="s">
        <v>214</v>
      </c>
      <c r="B7" s="397" t="s">
        <v>282</v>
      </c>
      <c r="D7" s="332"/>
      <c r="E7" s="327" t="s">
        <v>107</v>
      </c>
      <c r="F7" s="327"/>
      <c r="G7" s="327"/>
      <c r="H7" s="327"/>
      <c r="I7" s="327"/>
      <c r="J7" s="333"/>
      <c r="N7" s="386" t="s">
        <v>242</v>
      </c>
      <c r="O7" s="325" t="s">
        <v>263</v>
      </c>
      <c r="P7" s="325" t="s">
        <v>286</v>
      </c>
      <c r="Q7" s="325" t="s">
        <v>306</v>
      </c>
    </row>
    <row r="8" spans="1:17" x14ac:dyDescent="0.3">
      <c r="A8" s="394" t="s">
        <v>70</v>
      </c>
      <c r="B8" s="397" t="s">
        <v>303</v>
      </c>
      <c r="D8" s="332"/>
      <c r="E8" s="327" t="s">
        <v>108</v>
      </c>
      <c r="F8" s="327"/>
      <c r="G8" s="327"/>
      <c r="H8" s="327"/>
      <c r="I8" s="327"/>
      <c r="J8" s="333"/>
      <c r="N8" s="386" t="s">
        <v>243</v>
      </c>
      <c r="O8" s="325" t="s">
        <v>264</v>
      </c>
      <c r="P8" s="325" t="s">
        <v>287</v>
      </c>
      <c r="Q8" s="325" t="s">
        <v>307</v>
      </c>
    </row>
    <row r="9" spans="1:17" x14ac:dyDescent="0.3">
      <c r="A9" s="394" t="s">
        <v>215</v>
      </c>
      <c r="B9" s="397" t="s">
        <v>282</v>
      </c>
      <c r="D9" s="332"/>
      <c r="E9" s="327" t="s">
        <v>218</v>
      </c>
      <c r="F9" s="327"/>
      <c r="G9" s="327"/>
      <c r="H9" s="327"/>
      <c r="I9" s="327"/>
      <c r="J9" s="333"/>
      <c r="N9" s="386" t="s">
        <v>244</v>
      </c>
      <c r="O9" s="325" t="s">
        <v>265</v>
      </c>
      <c r="P9" s="325" t="s">
        <v>288</v>
      </c>
      <c r="Q9" s="325" t="s">
        <v>308</v>
      </c>
    </row>
    <row r="10" spans="1:17" x14ac:dyDescent="0.3">
      <c r="A10" s="394" t="s">
        <v>61</v>
      </c>
      <c r="B10" s="417" t="s">
        <v>356</v>
      </c>
      <c r="D10" s="334"/>
      <c r="E10" s="421"/>
      <c r="F10" s="422"/>
      <c r="G10" s="422"/>
      <c r="H10" s="422"/>
      <c r="I10" s="422"/>
      <c r="J10" s="423"/>
      <c r="N10" s="386" t="s">
        <v>245</v>
      </c>
      <c r="O10" s="325" t="s">
        <v>266</v>
      </c>
      <c r="P10" s="325" t="s">
        <v>289</v>
      </c>
      <c r="Q10" s="325" t="s">
        <v>309</v>
      </c>
    </row>
    <row r="11" spans="1:17" x14ac:dyDescent="0.3">
      <c r="A11" s="394" t="s">
        <v>61</v>
      </c>
      <c r="B11" s="414" t="s">
        <v>356</v>
      </c>
      <c r="D11" s="334"/>
      <c r="E11" s="424"/>
      <c r="F11" s="424"/>
      <c r="G11" s="424"/>
      <c r="H11" s="424"/>
      <c r="I11" s="424"/>
      <c r="J11" s="425"/>
      <c r="N11" s="386" t="s">
        <v>246</v>
      </c>
      <c r="O11" s="325" t="s">
        <v>267</v>
      </c>
      <c r="P11" s="325" t="s">
        <v>290</v>
      </c>
      <c r="Q11" s="325" t="s">
        <v>310</v>
      </c>
    </row>
    <row r="12" spans="1:17" x14ac:dyDescent="0.3">
      <c r="A12" s="394" t="s">
        <v>71</v>
      </c>
      <c r="B12" s="415" t="s">
        <v>453</v>
      </c>
      <c r="D12" s="334"/>
      <c r="E12" s="424"/>
      <c r="F12" s="424"/>
      <c r="G12" s="424"/>
      <c r="H12" s="424"/>
      <c r="I12" s="424"/>
      <c r="J12" s="425"/>
      <c r="N12" s="386" t="s">
        <v>247</v>
      </c>
      <c r="O12" s="325" t="s">
        <v>268</v>
      </c>
      <c r="P12" s="325" t="s">
        <v>291</v>
      </c>
      <c r="Q12" s="325" t="s">
        <v>311</v>
      </c>
    </row>
    <row r="13" spans="1:17" ht="21" thickBot="1" x14ac:dyDescent="0.35">
      <c r="A13" s="394" t="s">
        <v>71</v>
      </c>
      <c r="B13" s="416" t="s">
        <v>356</v>
      </c>
      <c r="D13" s="335"/>
      <c r="E13" s="426"/>
      <c r="F13" s="426"/>
      <c r="G13" s="426"/>
      <c r="H13" s="426"/>
      <c r="I13" s="426"/>
      <c r="J13" s="427"/>
      <c r="N13" s="386" t="s">
        <v>248</v>
      </c>
      <c r="O13" s="325" t="s">
        <v>269</v>
      </c>
      <c r="P13" s="325" t="s">
        <v>292</v>
      </c>
      <c r="Q13" s="325" t="s">
        <v>312</v>
      </c>
    </row>
    <row r="14" spans="1:17" x14ac:dyDescent="0.3">
      <c r="A14" s="394" t="s">
        <v>297</v>
      </c>
      <c r="B14" s="395" t="s">
        <v>298</v>
      </c>
      <c r="N14" s="386" t="s">
        <v>249</v>
      </c>
      <c r="O14" s="325" t="s">
        <v>270</v>
      </c>
      <c r="P14" s="325" t="s">
        <v>293</v>
      </c>
      <c r="Q14" s="325" t="s">
        <v>313</v>
      </c>
    </row>
    <row r="15" spans="1:17" x14ac:dyDescent="0.3">
      <c r="A15" s="394" t="s">
        <v>73</v>
      </c>
      <c r="B15" s="395" t="s">
        <v>299</v>
      </c>
      <c r="N15" s="386" t="s">
        <v>250</v>
      </c>
      <c r="O15" s="325" t="s">
        <v>271</v>
      </c>
      <c r="P15" s="325" t="s">
        <v>294</v>
      </c>
      <c r="Q15" s="325" t="s">
        <v>314</v>
      </c>
    </row>
    <row r="16" spans="1:17" x14ac:dyDescent="0.3">
      <c r="A16" s="393" t="s">
        <v>72</v>
      </c>
      <c r="B16" s="413" t="s">
        <v>355</v>
      </c>
      <c r="C16" s="359" t="s">
        <v>18</v>
      </c>
      <c r="D16" s="359" t="s">
        <v>19</v>
      </c>
      <c r="N16" s="386" t="s">
        <v>251</v>
      </c>
      <c r="O16" s="325" t="s">
        <v>272</v>
      </c>
      <c r="P16" s="325" t="s">
        <v>295</v>
      </c>
      <c r="Q16" s="325" t="s">
        <v>315</v>
      </c>
    </row>
    <row r="17" spans="2:17" ht="30.75" x14ac:dyDescent="0.3">
      <c r="B17" s="398" t="s">
        <v>231</v>
      </c>
      <c r="C17" s="411">
        <v>70</v>
      </c>
      <c r="D17" s="412">
        <v>30</v>
      </c>
      <c r="N17" s="386" t="s">
        <v>252</v>
      </c>
      <c r="O17" s="325" t="s">
        <v>273</v>
      </c>
      <c r="P17" s="325" t="s">
        <v>296</v>
      </c>
      <c r="Q17" s="325" t="s">
        <v>316</v>
      </c>
    </row>
    <row r="18" spans="2:17" x14ac:dyDescent="0.3">
      <c r="N18" s="386" t="s">
        <v>253</v>
      </c>
      <c r="O18" s="325" t="s">
        <v>274</v>
      </c>
      <c r="Q18" s="325" t="s">
        <v>317</v>
      </c>
    </row>
    <row r="19" spans="2:17" x14ac:dyDescent="0.3">
      <c r="N19" s="386" t="s">
        <v>254</v>
      </c>
      <c r="O19" s="325" t="s">
        <v>275</v>
      </c>
      <c r="Q19" s="325" t="s">
        <v>318</v>
      </c>
    </row>
    <row r="20" spans="2:17" x14ac:dyDescent="0.3">
      <c r="N20" s="386" t="s">
        <v>255</v>
      </c>
      <c r="O20" s="325" t="s">
        <v>276</v>
      </c>
      <c r="Q20" s="325" t="s">
        <v>319</v>
      </c>
    </row>
    <row r="21" spans="2:17" x14ac:dyDescent="0.3">
      <c r="N21" s="386" t="s">
        <v>256</v>
      </c>
      <c r="O21" s="325" t="s">
        <v>277</v>
      </c>
      <c r="Q21" s="325" t="s">
        <v>320</v>
      </c>
    </row>
    <row r="22" spans="2:17" x14ac:dyDescent="0.3">
      <c r="C22" s="326"/>
      <c r="N22" s="386" t="s">
        <v>257</v>
      </c>
      <c r="O22" s="325" t="s">
        <v>278</v>
      </c>
      <c r="Q22" s="325" t="s">
        <v>321</v>
      </c>
    </row>
    <row r="23" spans="2:17" x14ac:dyDescent="0.3">
      <c r="N23" s="386" t="s">
        <v>258</v>
      </c>
      <c r="O23" s="325" t="s">
        <v>279</v>
      </c>
      <c r="Q23" s="325" t="s">
        <v>322</v>
      </c>
    </row>
    <row r="24" spans="2:17" x14ac:dyDescent="0.3">
      <c r="C24" s="326"/>
      <c r="O24" s="325" t="s">
        <v>280</v>
      </c>
      <c r="Q24" s="325" t="s">
        <v>323</v>
      </c>
    </row>
    <row r="25" spans="2:17" x14ac:dyDescent="0.3">
      <c r="O25" s="325" t="s">
        <v>281</v>
      </c>
      <c r="Q25" s="325" t="s">
        <v>324</v>
      </c>
    </row>
    <row r="26" spans="2:17" x14ac:dyDescent="0.3">
      <c r="C26" s="326"/>
      <c r="Q26" s="325" t="s">
        <v>325</v>
      </c>
    </row>
    <row r="27" spans="2:17" x14ac:dyDescent="0.3">
      <c r="Q27" s="325" t="s">
        <v>326</v>
      </c>
    </row>
    <row r="28" spans="2:17" x14ac:dyDescent="0.3">
      <c r="C28" s="326"/>
      <c r="Q28" s="325" t="s">
        <v>327</v>
      </c>
    </row>
    <row r="29" spans="2:17" x14ac:dyDescent="0.3">
      <c r="C29" s="326"/>
      <c r="Q29" s="325" t="s">
        <v>328</v>
      </c>
    </row>
    <row r="30" spans="2:17" x14ac:dyDescent="0.3">
      <c r="Q30" s="325" t="s">
        <v>329</v>
      </c>
    </row>
    <row r="31" spans="2:17" x14ac:dyDescent="0.3">
      <c r="Q31" s="325" t="s">
        <v>330</v>
      </c>
    </row>
    <row r="32" spans="2:17" x14ac:dyDescent="0.3">
      <c r="Q32" s="325" t="s">
        <v>331</v>
      </c>
    </row>
    <row r="33" spans="17:17" x14ac:dyDescent="0.3">
      <c r="Q33" s="325" t="s">
        <v>332</v>
      </c>
    </row>
    <row r="34" spans="17:17" x14ac:dyDescent="0.3">
      <c r="Q34" s="325" t="s">
        <v>333</v>
      </c>
    </row>
    <row r="35" spans="17:17" x14ac:dyDescent="0.3">
      <c r="Q35" s="325" t="s">
        <v>334</v>
      </c>
    </row>
    <row r="36" spans="17:17" x14ac:dyDescent="0.3">
      <c r="Q36" s="325" t="s">
        <v>335</v>
      </c>
    </row>
    <row r="37" spans="17:17" x14ac:dyDescent="0.3">
      <c r="Q37" s="325" t="s">
        <v>336</v>
      </c>
    </row>
    <row r="38" spans="17:17" x14ac:dyDescent="0.3">
      <c r="Q38" s="325" t="s">
        <v>337</v>
      </c>
    </row>
    <row r="39" spans="17:17" x14ac:dyDescent="0.3">
      <c r="Q39" s="325" t="s">
        <v>338</v>
      </c>
    </row>
    <row r="40" spans="17:17" x14ac:dyDescent="0.3">
      <c r="Q40" s="325" t="s">
        <v>339</v>
      </c>
    </row>
    <row r="41" spans="17:17" x14ac:dyDescent="0.3">
      <c r="Q41" s="325" t="s">
        <v>340</v>
      </c>
    </row>
    <row r="42" spans="17:17" x14ac:dyDescent="0.3">
      <c r="Q42" s="325" t="s">
        <v>341</v>
      </c>
    </row>
    <row r="43" spans="17:17" x14ac:dyDescent="0.3">
      <c r="Q43" s="325" t="s">
        <v>342</v>
      </c>
    </row>
    <row r="44" spans="17:17" x14ac:dyDescent="0.3">
      <c r="Q44" s="325" t="s">
        <v>343</v>
      </c>
    </row>
    <row r="45" spans="17:17" x14ac:dyDescent="0.3">
      <c r="Q45" s="325" t="s">
        <v>344</v>
      </c>
    </row>
    <row r="46" spans="17:17" x14ac:dyDescent="0.3">
      <c r="Q46" s="325" t="s">
        <v>345</v>
      </c>
    </row>
    <row r="47" spans="17:17" x14ac:dyDescent="0.3">
      <c r="Q47" s="325" t="s">
        <v>346</v>
      </c>
    </row>
    <row r="48" spans="17:17" x14ac:dyDescent="0.3">
      <c r="Q48" s="325" t="s">
        <v>347</v>
      </c>
    </row>
    <row r="49" spans="17:17" x14ac:dyDescent="0.3">
      <c r="Q49" s="325" t="s">
        <v>348</v>
      </c>
    </row>
    <row r="50" spans="17:17" x14ac:dyDescent="0.3">
      <c r="Q50" s="325" t="s">
        <v>349</v>
      </c>
    </row>
    <row r="51" spans="17:17" x14ac:dyDescent="0.3">
      <c r="Q51" s="325" t="s">
        <v>350</v>
      </c>
    </row>
    <row r="52" spans="17:17" x14ac:dyDescent="0.3">
      <c r="Q52" s="325" t="s">
        <v>351</v>
      </c>
    </row>
    <row r="53" spans="17:17" x14ac:dyDescent="0.3">
      <c r="Q53" s="325" t="s">
        <v>352</v>
      </c>
    </row>
    <row r="54" spans="17:17" x14ac:dyDescent="0.3">
      <c r="Q54" s="325" t="s">
        <v>353</v>
      </c>
    </row>
    <row r="55" spans="17:17" x14ac:dyDescent="0.3">
      <c r="Q55" s="325" t="s">
        <v>354</v>
      </c>
    </row>
  </sheetData>
  <sheetProtection password="B007" sheet="1" objects="1" scenarios="1"/>
  <mergeCells count="10">
    <mergeCell ref="E10:J10"/>
    <mergeCell ref="E11:J11"/>
    <mergeCell ref="E12:J12"/>
    <mergeCell ref="E13:J13"/>
    <mergeCell ref="A1:B1"/>
    <mergeCell ref="A2:B2"/>
    <mergeCell ref="D2:J2"/>
    <mergeCell ref="E3:J3"/>
    <mergeCell ref="E4:J4"/>
    <mergeCell ref="E5:J5"/>
  </mergeCells>
  <dataValidations count="4">
    <dataValidation type="list" allowBlank="1" showInputMessage="1" showErrorMessage="1" sqref="B5">
      <formula1>$N$2:$N$23</formula1>
    </dataValidation>
    <dataValidation type="list" allowBlank="1" showInputMessage="1" showErrorMessage="1" sqref="B6">
      <formula1>$O$2:$O$25</formula1>
    </dataValidation>
    <dataValidation type="list" allowBlank="1" showInputMessage="1" showErrorMessage="1" sqref="B7 B9">
      <formula1>$P$2:$P$17</formula1>
    </dataValidation>
    <dataValidation type="list" allowBlank="1" showInputMessage="1" showErrorMessage="1" sqref="B8">
      <formula1>$Q$2:$Q$55</formula1>
    </dataValidation>
  </dataValidations>
  <pageMargins left="0.7" right="0.7" top="0.75" bottom="0.75" header="0.3" footer="0.3"/>
  <pageSetup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E39"/>
  </sheetPr>
  <dimension ref="A1:X49"/>
  <sheetViews>
    <sheetView zoomScaleNormal="100" zoomScaleSheetLayoutView="115" workbookViewId="0">
      <pane xSplit="25" ySplit="9" topLeftCell="Z37" activePane="bottomRight" state="frozen"/>
      <selection pane="topRight" activeCell="Z1" sqref="Z1"/>
      <selection pane="bottomLeft" activeCell="A10" sqref="A10"/>
      <selection pane="bottomRight"/>
    </sheetView>
  </sheetViews>
  <sheetFormatPr defaultRowHeight="14.25" x14ac:dyDescent="0.2"/>
  <cols>
    <col min="1" max="11" width="5.125" style="141" customWidth="1"/>
    <col min="12" max="12" width="5.625" style="141" customWidth="1"/>
    <col min="13" max="14" width="5.125" style="141" customWidth="1"/>
    <col min="15" max="15" width="4.5" style="141" customWidth="1"/>
    <col min="16" max="16" width="3.75" style="141" customWidth="1"/>
    <col min="17" max="16384" width="9" style="141"/>
  </cols>
  <sheetData>
    <row r="1" spans="1:24" ht="14.25" customHeight="1" x14ac:dyDescent="0.2">
      <c r="A1" s="387"/>
      <c r="B1" s="387"/>
      <c r="C1" s="387"/>
      <c r="D1" s="387"/>
      <c r="E1" s="387"/>
      <c r="F1" s="387"/>
      <c r="G1" s="387"/>
      <c r="H1" s="387"/>
      <c r="I1" s="387"/>
      <c r="J1" s="387"/>
      <c r="K1" s="387"/>
      <c r="L1" s="387"/>
      <c r="M1" s="387"/>
      <c r="N1" s="387"/>
      <c r="O1" s="387"/>
      <c r="P1" s="387"/>
    </row>
    <row r="2" spans="1:24" ht="14.25" customHeight="1" x14ac:dyDescent="0.2">
      <c r="A2" s="387"/>
      <c r="B2" s="387"/>
      <c r="C2" s="387"/>
      <c r="D2" s="387"/>
      <c r="E2" s="387"/>
      <c r="F2" s="387"/>
      <c r="G2" s="387"/>
      <c r="H2" s="387"/>
      <c r="I2" s="387"/>
      <c r="J2" s="387"/>
      <c r="K2" s="387"/>
      <c r="L2" s="387"/>
      <c r="M2" s="387"/>
      <c r="N2" s="387"/>
      <c r="O2" s="387"/>
      <c r="P2" s="387"/>
    </row>
    <row r="3" spans="1:24" ht="19.5" customHeight="1" x14ac:dyDescent="0.2">
      <c r="A3" s="387"/>
      <c r="B3" s="387"/>
      <c r="C3" s="387"/>
      <c r="D3" s="387"/>
      <c r="E3" s="387"/>
      <c r="F3" s="387"/>
      <c r="G3" s="387"/>
      <c r="H3" s="387"/>
      <c r="I3" s="387"/>
      <c r="J3" s="387"/>
      <c r="K3" s="387"/>
      <c r="L3" s="387"/>
      <c r="M3" s="387"/>
      <c r="N3" s="436" t="s">
        <v>47</v>
      </c>
      <c r="O3" s="436"/>
      <c r="P3" s="387"/>
      <c r="R3" s="249"/>
    </row>
    <row r="4" spans="1:24" ht="12.75" customHeight="1" x14ac:dyDescent="0.2">
      <c r="A4" s="387"/>
      <c r="B4" s="387"/>
      <c r="C4" s="387"/>
      <c r="D4" s="387"/>
      <c r="E4" s="387"/>
      <c r="F4" s="387"/>
      <c r="G4" s="387"/>
      <c r="H4" s="387"/>
      <c r="I4" s="387"/>
      <c r="J4" s="387"/>
      <c r="K4" s="387"/>
      <c r="L4" s="387"/>
      <c r="M4" s="387"/>
      <c r="N4" s="387"/>
      <c r="O4" s="387"/>
      <c r="P4" s="387"/>
    </row>
    <row r="5" spans="1:24" ht="15" customHeight="1" x14ac:dyDescent="0.2">
      <c r="A5" s="387"/>
      <c r="B5" s="387"/>
      <c r="C5" s="387"/>
      <c r="D5" s="387"/>
      <c r="E5" s="387"/>
      <c r="F5" s="387"/>
      <c r="G5" s="387"/>
      <c r="H5" s="387"/>
      <c r="I5" s="387"/>
      <c r="J5" s="387"/>
      <c r="K5" s="387"/>
      <c r="L5" s="387"/>
      <c r="M5" s="387"/>
      <c r="N5" s="387"/>
      <c r="O5" s="387"/>
      <c r="P5" s="387"/>
    </row>
    <row r="6" spans="1:24" ht="14.25" customHeight="1" x14ac:dyDescent="0.2">
      <c r="A6" s="387"/>
      <c r="B6" s="387"/>
      <c r="C6" s="387"/>
      <c r="D6" s="387"/>
      <c r="E6" s="387"/>
      <c r="F6" s="387"/>
      <c r="G6" s="387"/>
      <c r="H6" s="387"/>
      <c r="I6" s="387"/>
      <c r="J6" s="387"/>
      <c r="K6" s="387"/>
      <c r="L6" s="387"/>
      <c r="M6" s="387"/>
      <c r="N6" s="387"/>
      <c r="O6" s="387"/>
      <c r="P6" s="387"/>
    </row>
    <row r="7" spans="1:24" ht="13.5" customHeight="1" x14ac:dyDescent="0.2">
      <c r="A7" s="387"/>
      <c r="B7" s="387"/>
      <c r="C7" s="387"/>
      <c r="D7" s="387"/>
      <c r="E7" s="387"/>
      <c r="F7" s="387"/>
      <c r="G7" s="387"/>
      <c r="H7" s="387"/>
      <c r="I7" s="387"/>
      <c r="J7" s="387"/>
      <c r="K7" s="387"/>
      <c r="L7" s="387"/>
      <c r="M7" s="387"/>
      <c r="N7" s="387"/>
      <c r="O7" s="387"/>
      <c r="P7" s="387"/>
    </row>
    <row r="8" spans="1:24" ht="17.25" customHeight="1" x14ac:dyDescent="0.2">
      <c r="A8" s="387"/>
      <c r="B8" s="387"/>
      <c r="C8" s="387"/>
      <c r="D8" s="387"/>
      <c r="E8" s="387"/>
      <c r="F8" s="387"/>
      <c r="G8" s="387"/>
      <c r="H8" s="387"/>
      <c r="I8" s="387"/>
      <c r="J8" s="387"/>
      <c r="K8" s="387"/>
      <c r="L8" s="387"/>
      <c r="M8" s="387"/>
      <c r="N8" s="387"/>
      <c r="O8" s="387"/>
      <c r="P8" s="387"/>
    </row>
    <row r="9" spans="1:24" ht="25.5" customHeight="1" x14ac:dyDescent="0.2">
      <c r="A9" s="438" t="str">
        <f>DATA!B3</f>
        <v>โรงเรียนมูลนิธิวัดปากบ่อ  เขตสวนหลวง  กรุงเทพมหานคร</v>
      </c>
      <c r="B9" s="438"/>
      <c r="C9" s="438"/>
      <c r="D9" s="438"/>
      <c r="E9" s="438"/>
      <c r="F9" s="438"/>
      <c r="G9" s="438"/>
      <c r="H9" s="438"/>
      <c r="I9" s="438"/>
      <c r="J9" s="438"/>
      <c r="K9" s="438"/>
      <c r="L9" s="438"/>
      <c r="M9" s="438"/>
      <c r="N9" s="438"/>
      <c r="O9" s="438"/>
      <c r="P9" s="438"/>
      <c r="T9" s="435" t="s">
        <v>223</v>
      </c>
      <c r="U9" s="435"/>
      <c r="V9" s="435"/>
      <c r="W9" s="435"/>
      <c r="X9" s="435"/>
    </row>
    <row r="10" spans="1:24" ht="29.25" customHeight="1" x14ac:dyDescent="0.2">
      <c r="A10" s="438" t="str">
        <f>DATA!B4</f>
        <v>สำนักงานเขตพื้นที่การศึกษาประถมศึกษา กรุงเทพมหานคร</v>
      </c>
      <c r="B10" s="438"/>
      <c r="C10" s="438"/>
      <c r="D10" s="438"/>
      <c r="E10" s="438"/>
      <c r="F10" s="438"/>
      <c r="G10" s="438"/>
      <c r="H10" s="438"/>
      <c r="I10" s="438"/>
      <c r="J10" s="438"/>
      <c r="K10" s="438"/>
      <c r="L10" s="438"/>
      <c r="M10" s="438"/>
      <c r="N10" s="438"/>
      <c r="O10" s="438"/>
      <c r="P10" s="438"/>
    </row>
    <row r="11" spans="1:24" ht="22.5" customHeight="1" x14ac:dyDescent="0.2">
      <c r="A11" s="439" t="s">
        <v>65</v>
      </c>
      <c r="B11" s="439"/>
      <c r="C11" s="439"/>
      <c r="D11" s="439"/>
      <c r="E11" s="439"/>
      <c r="F11" s="439"/>
      <c r="G11" s="439"/>
      <c r="H11" s="439"/>
      <c r="I11" s="439"/>
      <c r="J11" s="439"/>
      <c r="K11" s="439"/>
      <c r="L11" s="439"/>
      <c r="M11" s="439"/>
      <c r="N11" s="439"/>
      <c r="O11" s="439"/>
      <c r="P11" s="439"/>
    </row>
    <row r="12" spans="1:24" ht="24.75" customHeight="1" x14ac:dyDescent="0.2">
      <c r="A12" s="439" t="str">
        <f>"กลุ่มสาระการเรียนรู้"&amp;DATA!B7</f>
        <v>กลุ่มสาระการเรียนรู้ภาษาไทย</v>
      </c>
      <c r="B12" s="439"/>
      <c r="C12" s="439"/>
      <c r="D12" s="439"/>
      <c r="E12" s="439"/>
      <c r="F12" s="439"/>
      <c r="G12" s="439"/>
      <c r="H12" s="439"/>
      <c r="I12" s="439"/>
      <c r="J12" s="439"/>
      <c r="K12" s="439"/>
      <c r="L12" s="439"/>
      <c r="M12" s="439"/>
      <c r="N12" s="439"/>
      <c r="O12" s="439"/>
      <c r="P12" s="439"/>
    </row>
    <row r="13" spans="1:24" ht="20.25" customHeight="1" x14ac:dyDescent="0.2">
      <c r="A13" s="437" t="str">
        <f>DATA!B5</f>
        <v>ปีการศึกษา 2563</v>
      </c>
      <c r="B13" s="437"/>
      <c r="C13" s="437"/>
      <c r="D13" s="437"/>
      <c r="E13" s="437"/>
      <c r="F13" s="437"/>
      <c r="G13" s="437"/>
      <c r="H13" s="437"/>
      <c r="I13" s="437"/>
      <c r="J13" s="437"/>
      <c r="K13" s="437"/>
      <c r="L13" s="437"/>
      <c r="M13" s="437"/>
      <c r="N13" s="437"/>
      <c r="O13" s="437"/>
      <c r="P13" s="437"/>
    </row>
    <row r="14" spans="1:24" ht="12" customHeight="1" x14ac:dyDescent="0.2">
      <c r="A14" s="178"/>
      <c r="B14" s="178"/>
      <c r="C14" s="178"/>
      <c r="D14" s="178"/>
      <c r="E14" s="179"/>
      <c r="F14" s="179"/>
      <c r="G14" s="179"/>
      <c r="H14" s="179"/>
      <c r="I14" s="179"/>
      <c r="J14" s="179"/>
      <c r="K14" s="179"/>
      <c r="L14" s="178"/>
      <c r="M14" s="178"/>
      <c r="N14" s="178"/>
      <c r="O14" s="178"/>
      <c r="P14" s="178"/>
    </row>
    <row r="15" spans="1:24" ht="24.75" customHeight="1" x14ac:dyDescent="0.2">
      <c r="A15" s="437" t="str">
        <f>DATA!B6</f>
        <v>ประถมศึกษาปีที่ ๔/๑</v>
      </c>
      <c r="B15" s="437"/>
      <c r="C15" s="437"/>
      <c r="D15" s="437"/>
      <c r="E15" s="437"/>
      <c r="F15" s="437"/>
      <c r="G15" s="437"/>
      <c r="H15" s="437"/>
      <c r="I15" s="437"/>
      <c r="J15" s="437"/>
      <c r="K15" s="437"/>
      <c r="L15" s="437"/>
      <c r="M15" s="437"/>
      <c r="N15" s="437"/>
      <c r="O15" s="437"/>
      <c r="P15" s="437"/>
    </row>
    <row r="16" spans="1:24" ht="21.75" customHeight="1" x14ac:dyDescent="0.2">
      <c r="A16" s="439" t="str">
        <f>DATA!B8&amp;"   วิชา"&amp;DATA!B9</f>
        <v>รหัสวิชา ท14101   วิชาภาษาไทย</v>
      </c>
      <c r="B16" s="439"/>
      <c r="C16" s="439"/>
      <c r="D16" s="439"/>
      <c r="E16" s="439"/>
      <c r="F16" s="439"/>
      <c r="G16" s="439"/>
      <c r="H16" s="439"/>
      <c r="I16" s="439"/>
      <c r="J16" s="439"/>
      <c r="K16" s="439"/>
      <c r="L16" s="439"/>
      <c r="M16" s="439"/>
      <c r="N16" s="439"/>
      <c r="O16" s="439"/>
      <c r="P16" s="439"/>
    </row>
    <row r="17" spans="1:18" ht="10.5" customHeight="1" x14ac:dyDescent="0.2">
      <c r="A17" s="179"/>
      <c r="B17" s="179"/>
      <c r="C17" s="179"/>
      <c r="D17" s="179"/>
      <c r="E17" s="179"/>
      <c r="F17" s="179"/>
      <c r="G17" s="179"/>
      <c r="H17" s="179"/>
      <c r="I17" s="179"/>
      <c r="J17" s="179"/>
      <c r="K17" s="179"/>
      <c r="L17" s="179"/>
      <c r="M17" s="179"/>
      <c r="N17" s="179"/>
      <c r="O17" s="179"/>
      <c r="P17" s="179"/>
    </row>
    <row r="18" spans="1:18" ht="26.25" customHeight="1" x14ac:dyDescent="0.25">
      <c r="A18" s="388"/>
      <c r="B18" s="388"/>
      <c r="C18" s="388"/>
      <c r="D18" s="389"/>
      <c r="E18" s="390" t="s">
        <v>48</v>
      </c>
      <c r="F18" s="389"/>
      <c r="G18" s="390"/>
      <c r="H18" s="455" t="str">
        <f>DATA!B10</f>
        <v>-</v>
      </c>
      <c r="I18" s="455"/>
      <c r="J18" s="455"/>
      <c r="K18" s="455"/>
      <c r="L18" s="455"/>
      <c r="M18" s="455"/>
      <c r="N18" s="455"/>
      <c r="O18" s="391"/>
      <c r="P18" s="392"/>
      <c r="R18" s="142"/>
    </row>
    <row r="19" spans="1:18" ht="19.5" customHeight="1" x14ac:dyDescent="0.25">
      <c r="A19" s="388"/>
      <c r="B19" s="388"/>
      <c r="C19" s="388"/>
      <c r="D19" s="389"/>
      <c r="E19" s="390" t="s">
        <v>48</v>
      </c>
      <c r="F19" s="389"/>
      <c r="G19" s="390"/>
      <c r="H19" s="455" t="str">
        <f>DATA!B11</f>
        <v>-</v>
      </c>
      <c r="I19" s="455"/>
      <c r="J19" s="455"/>
      <c r="K19" s="455"/>
      <c r="L19" s="455"/>
      <c r="M19" s="455"/>
      <c r="N19" s="455"/>
      <c r="O19" s="391"/>
      <c r="P19" s="392"/>
    </row>
    <row r="20" spans="1:18" ht="24.75" customHeight="1" x14ac:dyDescent="0.25">
      <c r="A20" s="388"/>
      <c r="B20" s="388"/>
      <c r="C20" s="388"/>
      <c r="D20" s="389"/>
      <c r="E20" s="390" t="s">
        <v>49</v>
      </c>
      <c r="F20" s="389"/>
      <c r="G20" s="390"/>
      <c r="H20" s="455" t="str">
        <f>DATA!B12</f>
        <v>นายกีรติ ขำกฤษ</v>
      </c>
      <c r="I20" s="455"/>
      <c r="J20" s="455"/>
      <c r="K20" s="455"/>
      <c r="L20" s="455"/>
      <c r="M20" s="455"/>
      <c r="N20" s="455"/>
      <c r="O20" s="391"/>
      <c r="P20" s="392"/>
    </row>
    <row r="21" spans="1:18" ht="19.5" customHeight="1" x14ac:dyDescent="0.25">
      <c r="A21" s="388"/>
      <c r="B21" s="388"/>
      <c r="C21" s="388"/>
      <c r="D21" s="389"/>
      <c r="E21" s="390" t="s">
        <v>49</v>
      </c>
      <c r="F21" s="389"/>
      <c r="G21" s="390"/>
      <c r="H21" s="455" t="str">
        <f>DATA!B13</f>
        <v>-</v>
      </c>
      <c r="I21" s="455"/>
      <c r="J21" s="455"/>
      <c r="K21" s="455"/>
      <c r="L21" s="455"/>
      <c r="M21" s="455"/>
      <c r="N21" s="455"/>
      <c r="O21" s="390"/>
      <c r="P21" s="392"/>
    </row>
    <row r="22" spans="1:18" ht="14.25" customHeight="1" x14ac:dyDescent="0.2">
      <c r="A22" s="388"/>
      <c r="B22" s="388"/>
      <c r="C22" s="388"/>
      <c r="D22" s="391"/>
      <c r="E22" s="391"/>
      <c r="F22" s="391"/>
      <c r="G22" s="391"/>
      <c r="H22" s="391"/>
      <c r="I22" s="391"/>
      <c r="J22" s="391"/>
      <c r="K22" s="391"/>
      <c r="L22" s="391"/>
      <c r="M22" s="391"/>
      <c r="N22" s="391"/>
      <c r="O22" s="390"/>
      <c r="P22" s="392"/>
    </row>
    <row r="23" spans="1:18" ht="19.5" customHeight="1" thickBot="1" x14ac:dyDescent="0.25">
      <c r="A23" s="440" t="s">
        <v>50</v>
      </c>
      <c r="B23" s="440"/>
      <c r="C23" s="440"/>
      <c r="D23" s="440"/>
      <c r="E23" s="441"/>
      <c r="F23" s="441"/>
      <c r="G23" s="441"/>
      <c r="H23" s="441"/>
      <c r="I23" s="441"/>
      <c r="J23" s="441"/>
      <c r="K23" s="441"/>
      <c r="L23" s="441"/>
      <c r="M23" s="440"/>
      <c r="N23" s="440"/>
      <c r="O23" s="440"/>
      <c r="P23" s="440"/>
    </row>
    <row r="24" spans="1:18" ht="19.5" customHeight="1" x14ac:dyDescent="0.2">
      <c r="A24" s="442" t="s">
        <v>51</v>
      </c>
      <c r="B24" s="443"/>
      <c r="C24" s="443"/>
      <c r="D24" s="444"/>
      <c r="E24" s="445" t="s">
        <v>52</v>
      </c>
      <c r="F24" s="446"/>
      <c r="G24" s="446"/>
      <c r="H24" s="446"/>
      <c r="I24" s="446"/>
      <c r="J24" s="446"/>
      <c r="K24" s="446"/>
      <c r="L24" s="447"/>
      <c r="M24" s="448" t="s">
        <v>114</v>
      </c>
      <c r="N24" s="448"/>
      <c r="O24" s="448"/>
      <c r="P24" s="449"/>
    </row>
    <row r="25" spans="1:18" ht="19.5" customHeight="1" x14ac:dyDescent="0.2">
      <c r="A25" s="452" t="s">
        <v>53</v>
      </c>
      <c r="B25" s="453"/>
      <c r="C25" s="453"/>
      <c r="D25" s="454"/>
      <c r="E25" s="181">
        <v>4</v>
      </c>
      <c r="F25" s="182">
        <v>3.5</v>
      </c>
      <c r="G25" s="183">
        <v>3</v>
      </c>
      <c r="H25" s="182">
        <v>2.5</v>
      </c>
      <c r="I25" s="183">
        <v>2</v>
      </c>
      <c r="J25" s="182">
        <v>1.5</v>
      </c>
      <c r="K25" s="183">
        <v>1</v>
      </c>
      <c r="L25" s="184">
        <v>0</v>
      </c>
      <c r="M25" s="450"/>
      <c r="N25" s="450"/>
      <c r="O25" s="450"/>
      <c r="P25" s="451"/>
    </row>
    <row r="26" spans="1:18" ht="18" customHeight="1" thickBot="1" x14ac:dyDescent="0.25">
      <c r="A26" s="456">
        <f>SUM(E26:L26)</f>
        <v>0</v>
      </c>
      <c r="B26" s="457"/>
      <c r="C26" s="457"/>
      <c r="D26" s="457"/>
      <c r="E26" s="185">
        <f>COUNTIF(ปพ.5!AL6:AL55,"4")</f>
        <v>0</v>
      </c>
      <c r="F26" s="186">
        <f>COUNTIF(ปพ.5!AL6:AL55,"3.5")</f>
        <v>0</v>
      </c>
      <c r="G26" s="186">
        <f>COUNTIF(ปพ.5!AL6:AL55,"3")</f>
        <v>0</v>
      </c>
      <c r="H26" s="186">
        <f>COUNTIF(ปพ.5!AL6:AL55,"2.5")</f>
        <v>0</v>
      </c>
      <c r="I26" s="186">
        <f>COUNTIF(ปพ.5!AL6:AL55,"2")</f>
        <v>0</v>
      </c>
      <c r="J26" s="186">
        <f>COUNTIF(ปพ.5!AL6:AL55,"1.5")</f>
        <v>0</v>
      </c>
      <c r="K26" s="186">
        <f>COUNTIF(ปพ.5!AL6:AL55,"1")</f>
        <v>0</v>
      </c>
      <c r="L26" s="187">
        <f>COUNTIF(ปพ.5!AL6:AL55,"0")</f>
        <v>0</v>
      </c>
      <c r="M26" s="458" t="e">
        <f>สรุปคะแนนA๔!G61</f>
        <v>#DIV/0!</v>
      </c>
      <c r="N26" s="458"/>
      <c r="O26" s="458"/>
      <c r="P26" s="459"/>
    </row>
    <row r="27" spans="1:18" ht="17.25" customHeight="1" thickBot="1" x14ac:dyDescent="0.25">
      <c r="A27" s="468" t="s">
        <v>79</v>
      </c>
      <c r="B27" s="469"/>
      <c r="C27" s="469"/>
      <c r="D27" s="470"/>
      <c r="E27" s="188">
        <f>E26/สรุปคะแนนA๔!G60*100</f>
        <v>0</v>
      </c>
      <c r="F27" s="189">
        <f>F26/สรุปคะแนนA๔!G60*100</f>
        <v>0</v>
      </c>
      <c r="G27" s="189">
        <f>G26/สรุปคะแนนA๔!G60*100</f>
        <v>0</v>
      </c>
      <c r="H27" s="189">
        <f>H26/สรุปคะแนนA๔!G60*100</f>
        <v>0</v>
      </c>
      <c r="I27" s="189">
        <f>I26/สรุปคะแนนA๔!G60*100</f>
        <v>0</v>
      </c>
      <c r="J27" s="189">
        <f>J26/สรุปคะแนนA๔!G60*100</f>
        <v>0</v>
      </c>
      <c r="K27" s="189">
        <f>K26/สรุปคะแนนA๔!G60*100</f>
        <v>0</v>
      </c>
      <c r="L27" s="190">
        <f>L26/สรุปคะแนนA๔!G60*100</f>
        <v>0</v>
      </c>
      <c r="M27" s="191"/>
      <c r="N27" s="192"/>
      <c r="O27" s="193"/>
      <c r="P27" s="193"/>
    </row>
    <row r="28" spans="1:18" ht="12.75" customHeight="1" thickBot="1" x14ac:dyDescent="0.4">
      <c r="A28" s="194"/>
      <c r="B28" s="194"/>
      <c r="C28" s="194"/>
      <c r="D28" s="194"/>
      <c r="E28" s="194"/>
      <c r="F28" s="194"/>
      <c r="G28" s="194"/>
      <c r="H28" s="194"/>
      <c r="I28" s="194"/>
      <c r="J28" s="194"/>
      <c r="K28" s="194"/>
      <c r="L28" s="194"/>
      <c r="M28" s="194"/>
      <c r="N28" s="195"/>
      <c r="O28" s="195"/>
      <c r="P28" s="195"/>
    </row>
    <row r="29" spans="1:18" s="143" customFormat="1" ht="19.5" customHeight="1" x14ac:dyDescent="0.2">
      <c r="A29" s="196"/>
      <c r="B29" s="196"/>
      <c r="C29" s="460" t="s">
        <v>54</v>
      </c>
      <c r="D29" s="461"/>
      <c r="E29" s="461"/>
      <c r="F29" s="461"/>
      <c r="G29" s="461"/>
      <c r="H29" s="461"/>
      <c r="I29" s="462" t="s">
        <v>55</v>
      </c>
      <c r="J29" s="462"/>
      <c r="K29" s="462"/>
      <c r="L29" s="462"/>
      <c r="M29" s="462"/>
      <c r="N29" s="462"/>
      <c r="O29" s="197"/>
      <c r="P29" s="196"/>
    </row>
    <row r="30" spans="1:18" ht="19.5" customHeight="1" x14ac:dyDescent="0.35">
      <c r="A30" s="194"/>
      <c r="B30" s="194"/>
      <c r="C30" s="463" t="s">
        <v>56</v>
      </c>
      <c r="D30" s="464"/>
      <c r="E30" s="465" t="s">
        <v>57</v>
      </c>
      <c r="F30" s="464"/>
      <c r="G30" s="465" t="s">
        <v>58</v>
      </c>
      <c r="H30" s="466"/>
      <c r="I30" s="467" t="s">
        <v>56</v>
      </c>
      <c r="J30" s="467"/>
      <c r="K30" s="467" t="s">
        <v>57</v>
      </c>
      <c r="L30" s="467"/>
      <c r="M30" s="467" t="s">
        <v>58</v>
      </c>
      <c r="N30" s="467"/>
      <c r="O30" s="195"/>
      <c r="P30" s="194"/>
    </row>
    <row r="31" spans="1:18" ht="19.5" customHeight="1" thickBot="1" x14ac:dyDescent="0.3">
      <c r="A31" s="194"/>
      <c r="B31" s="194"/>
      <c r="C31" s="473">
        <f>COUNTIF(ปพ.5!AU6:AU55,"ดีเยี่ยม")</f>
        <v>0</v>
      </c>
      <c r="D31" s="474"/>
      <c r="E31" s="475">
        <f>COUNTIF(ปพ.5!AU6:AU55,"ดี")</f>
        <v>0</v>
      </c>
      <c r="F31" s="476"/>
      <c r="G31" s="475">
        <f>COUNTIF(ปพ.5!AU6:AU55,"ผ่าน")</f>
        <v>0</v>
      </c>
      <c r="H31" s="477"/>
      <c r="I31" s="475">
        <f>COUNTIF(ปพ.5!BI6:BI55,"ดีเยี่ยม")</f>
        <v>0</v>
      </c>
      <c r="J31" s="476"/>
      <c r="K31" s="475">
        <f>COUNTIF(ปพ.5!BI6:BI55,"ดี")</f>
        <v>0</v>
      </c>
      <c r="L31" s="476"/>
      <c r="M31" s="475">
        <f>COUNTIF(ปพ.5!BI6:BI55,"ผ่าน")</f>
        <v>0</v>
      </c>
      <c r="N31" s="476"/>
      <c r="O31" s="194"/>
      <c r="P31" s="194"/>
    </row>
    <row r="32" spans="1:18" ht="17.25" customHeight="1" x14ac:dyDescent="0.35">
      <c r="A32" s="180"/>
      <c r="B32" s="180"/>
      <c r="C32" s="180"/>
      <c r="D32" s="198"/>
      <c r="E32" s="199"/>
      <c r="F32" s="180"/>
      <c r="G32" s="180"/>
      <c r="H32" s="180"/>
      <c r="I32" s="180"/>
      <c r="J32" s="180"/>
      <c r="K32" s="180"/>
      <c r="L32" s="180"/>
      <c r="M32" s="200"/>
      <c r="N32" s="180"/>
      <c r="O32" s="180"/>
      <c r="P32" s="180"/>
    </row>
    <row r="33" spans="1:16" ht="19.5" customHeight="1" x14ac:dyDescent="0.35">
      <c r="A33" s="180"/>
      <c r="B33" s="180"/>
      <c r="C33" s="180"/>
      <c r="D33" s="180"/>
      <c r="E33" s="199" t="s">
        <v>59</v>
      </c>
      <c r="F33" s="200" t="s">
        <v>60</v>
      </c>
      <c r="G33" s="201"/>
      <c r="H33" s="201"/>
      <c r="I33" s="201"/>
      <c r="J33" s="201"/>
      <c r="K33" s="200" t="s">
        <v>61</v>
      </c>
      <c r="L33" s="200"/>
      <c r="M33" s="200"/>
      <c r="N33" s="180"/>
      <c r="O33" s="198"/>
      <c r="P33" s="198"/>
    </row>
    <row r="34" spans="1:16" ht="19.5" customHeight="1" x14ac:dyDescent="0.35">
      <c r="A34" s="180"/>
      <c r="B34" s="180"/>
      <c r="C34" s="180"/>
      <c r="D34" s="180"/>
      <c r="E34" s="199" t="s">
        <v>59</v>
      </c>
      <c r="F34" s="200" t="s">
        <v>60</v>
      </c>
      <c r="G34" s="201"/>
      <c r="H34" s="201"/>
      <c r="I34" s="201"/>
      <c r="J34" s="201"/>
      <c r="K34" s="200" t="s">
        <v>61</v>
      </c>
      <c r="L34" s="200"/>
      <c r="M34" s="200"/>
      <c r="N34" s="180"/>
      <c r="O34" s="198"/>
      <c r="P34" s="180"/>
    </row>
    <row r="35" spans="1:16" ht="19.5" customHeight="1" x14ac:dyDescent="0.35">
      <c r="A35" s="180"/>
      <c r="B35" s="180"/>
      <c r="C35" s="180"/>
      <c r="D35" s="180"/>
      <c r="E35" s="199" t="s">
        <v>59</v>
      </c>
      <c r="F35" s="200" t="s">
        <v>60</v>
      </c>
      <c r="G35" s="201"/>
      <c r="H35" s="201"/>
      <c r="I35" s="201"/>
      <c r="J35" s="201"/>
      <c r="K35" s="200" t="s">
        <v>62</v>
      </c>
      <c r="L35" s="200"/>
      <c r="M35" s="200"/>
      <c r="N35" s="198"/>
      <c r="O35" s="198"/>
      <c r="P35" s="180"/>
    </row>
    <row r="36" spans="1:16" ht="19.5" customHeight="1" x14ac:dyDescent="0.35">
      <c r="A36" s="180"/>
      <c r="B36" s="180"/>
      <c r="C36" s="180"/>
      <c r="D36" s="180"/>
      <c r="E36" s="199" t="s">
        <v>59</v>
      </c>
      <c r="F36" s="200" t="s">
        <v>60</v>
      </c>
      <c r="G36" s="201"/>
      <c r="H36" s="201"/>
      <c r="I36" s="201"/>
      <c r="J36" s="201"/>
      <c r="K36" s="198" t="s">
        <v>63</v>
      </c>
      <c r="L36" s="198"/>
      <c r="M36" s="198"/>
      <c r="N36" s="198"/>
      <c r="O36" s="198"/>
      <c r="P36" s="198"/>
    </row>
    <row r="37" spans="1:16" ht="15.75" customHeight="1" x14ac:dyDescent="0.35">
      <c r="A37" s="180"/>
      <c r="B37" s="180"/>
      <c r="C37" s="180"/>
      <c r="D37" s="180"/>
      <c r="E37" s="199"/>
      <c r="F37" s="201"/>
      <c r="G37" s="201"/>
      <c r="H37" s="201"/>
      <c r="I37" s="201"/>
      <c r="J37" s="201"/>
      <c r="K37" s="198"/>
      <c r="L37" s="198"/>
      <c r="M37" s="198"/>
      <c r="N37" s="201"/>
      <c r="O37" s="201"/>
      <c r="P37" s="198"/>
    </row>
    <row r="38" spans="1:16" ht="21.75" customHeight="1" x14ac:dyDescent="0.35">
      <c r="A38" s="180"/>
      <c r="B38" s="202" t="s">
        <v>64</v>
      </c>
      <c r="C38" s="201"/>
      <c r="D38" s="201"/>
      <c r="E38" s="201"/>
      <c r="F38" s="201"/>
      <c r="G38" s="180"/>
      <c r="H38" s="180"/>
      <c r="I38" s="180"/>
      <c r="J38" s="180"/>
      <c r="K38" s="198"/>
      <c r="L38" s="198"/>
      <c r="M38" s="198"/>
      <c r="N38" s="180"/>
      <c r="O38" s="180"/>
      <c r="P38" s="198"/>
    </row>
    <row r="39" spans="1:16" ht="14.25" customHeight="1" x14ac:dyDescent="0.35">
      <c r="A39" s="180"/>
      <c r="B39" s="180"/>
      <c r="C39" s="180"/>
      <c r="D39" s="180"/>
      <c r="E39" s="180"/>
      <c r="F39" s="180"/>
      <c r="G39" s="180"/>
      <c r="H39" s="180"/>
      <c r="I39" s="180"/>
      <c r="J39" s="180"/>
      <c r="K39" s="180"/>
      <c r="L39" s="180"/>
      <c r="M39" s="198"/>
      <c r="N39" s="180"/>
      <c r="O39" s="180"/>
      <c r="P39" s="198"/>
    </row>
    <row r="40" spans="1:16" ht="19.5" customHeight="1" x14ac:dyDescent="0.35">
      <c r="A40" s="180"/>
      <c r="B40" s="180"/>
      <c r="C40" s="180"/>
      <c r="D40" s="180"/>
      <c r="E40" s="201" t="s">
        <v>59</v>
      </c>
      <c r="F40" s="200" t="s">
        <v>60</v>
      </c>
      <c r="G40" s="201"/>
      <c r="H40" s="201"/>
      <c r="I40" s="201"/>
      <c r="J40" s="201"/>
      <c r="K40" s="200" t="str">
        <f>DATA!A14</f>
        <v>หัวหน้างานบริหารวิชาการ</v>
      </c>
      <c r="L40" s="201"/>
      <c r="M40" s="201"/>
      <c r="N40" s="180"/>
      <c r="O40" s="203"/>
      <c r="P40" s="180"/>
    </row>
    <row r="41" spans="1:16" ht="19.5" customHeight="1" x14ac:dyDescent="0.35">
      <c r="A41" s="180"/>
      <c r="B41" s="180"/>
      <c r="C41" s="180"/>
      <c r="D41" s="180"/>
      <c r="E41" s="472" t="str">
        <f>DATA!B14</f>
        <v>(นายเทวา  สาระสี)</v>
      </c>
      <c r="F41" s="472"/>
      <c r="G41" s="472"/>
      <c r="H41" s="472"/>
      <c r="I41" s="472"/>
      <c r="J41" s="472"/>
      <c r="K41" s="472"/>
      <c r="L41" s="198"/>
      <c r="M41" s="180"/>
      <c r="N41" s="180"/>
      <c r="O41" s="180"/>
      <c r="P41" s="180"/>
    </row>
    <row r="42" spans="1:16" ht="11.25" customHeight="1" thickBot="1" x14ac:dyDescent="0.4">
      <c r="A42" s="180"/>
      <c r="B42" s="180"/>
      <c r="C42" s="180"/>
      <c r="D42" s="180"/>
      <c r="E42" s="180"/>
      <c r="F42" s="201"/>
      <c r="G42" s="201"/>
      <c r="H42" s="201"/>
      <c r="I42" s="201"/>
      <c r="J42" s="201"/>
      <c r="K42" s="180"/>
      <c r="L42" s="180"/>
      <c r="M42" s="180"/>
      <c r="N42" s="180"/>
      <c r="O42" s="180"/>
      <c r="P42" s="180"/>
    </row>
    <row r="43" spans="1:16" s="144" customFormat="1" ht="18" customHeight="1" thickBot="1" x14ac:dyDescent="0.25">
      <c r="A43" s="204"/>
      <c r="B43" s="204"/>
      <c r="C43" s="204"/>
      <c r="D43" s="480" t="s">
        <v>87</v>
      </c>
      <c r="E43" s="479"/>
      <c r="F43" s="205"/>
      <c r="G43" s="206"/>
      <c r="H43" s="204"/>
      <c r="I43" s="204"/>
      <c r="J43" s="478" t="s">
        <v>86</v>
      </c>
      <c r="K43" s="479"/>
      <c r="L43" s="207"/>
      <c r="M43" s="208"/>
      <c r="N43" s="206"/>
      <c r="O43" s="204"/>
      <c r="P43" s="204"/>
    </row>
    <row r="44" spans="1:16" ht="14.25" customHeight="1" x14ac:dyDescent="0.25">
      <c r="A44" s="180"/>
      <c r="B44" s="180"/>
      <c r="C44" s="180"/>
      <c r="D44" s="180"/>
      <c r="E44" s="180"/>
      <c r="F44" s="180"/>
      <c r="G44" s="180"/>
      <c r="H44" s="180"/>
      <c r="I44" s="180"/>
      <c r="J44" s="180"/>
      <c r="K44" s="180"/>
      <c r="L44" s="180"/>
      <c r="M44" s="180"/>
      <c r="N44" s="180"/>
      <c r="O44" s="180"/>
      <c r="P44" s="180"/>
    </row>
    <row r="45" spans="1:16" ht="19.5" customHeight="1" x14ac:dyDescent="0.35">
      <c r="A45" s="180"/>
      <c r="B45" s="180"/>
      <c r="C45" s="180"/>
      <c r="D45" s="180"/>
      <c r="E45" s="199" t="s">
        <v>59</v>
      </c>
      <c r="F45" s="200" t="s">
        <v>60</v>
      </c>
      <c r="G45" s="201"/>
      <c r="H45" s="201"/>
      <c r="I45" s="201"/>
      <c r="J45" s="201"/>
      <c r="K45" s="201"/>
      <c r="L45" s="201"/>
      <c r="M45" s="180"/>
      <c r="N45" s="180"/>
      <c r="O45" s="180"/>
      <c r="P45" s="180"/>
    </row>
    <row r="46" spans="1:16" ht="19.5" customHeight="1" x14ac:dyDescent="0.35">
      <c r="A46" s="180"/>
      <c r="B46" s="180"/>
      <c r="C46" s="180"/>
      <c r="D46" s="180"/>
      <c r="E46" s="472" t="str">
        <f>DATA!B15</f>
        <v>(นายประเสริฐ  นาคพิมพ์)</v>
      </c>
      <c r="F46" s="472"/>
      <c r="G46" s="472"/>
      <c r="H46" s="472"/>
      <c r="I46" s="472"/>
      <c r="J46" s="472"/>
      <c r="K46" s="472"/>
      <c r="L46" s="472"/>
      <c r="M46" s="180"/>
      <c r="N46" s="180"/>
      <c r="O46" s="180"/>
      <c r="P46" s="180"/>
    </row>
    <row r="47" spans="1:16" ht="19.5" customHeight="1" x14ac:dyDescent="0.35">
      <c r="A47" s="180"/>
      <c r="B47" s="180"/>
      <c r="C47" s="180"/>
      <c r="D47" s="472" t="str">
        <f>"ผู้อำนวย"&amp;DATA!B3</f>
        <v>ผู้อำนวยโรงเรียนมูลนิธิวัดปากบ่อ  เขตสวนหลวง  กรุงเทพมหานคร</v>
      </c>
      <c r="E47" s="472"/>
      <c r="F47" s="472"/>
      <c r="G47" s="472"/>
      <c r="H47" s="472"/>
      <c r="I47" s="472"/>
      <c r="J47" s="472"/>
      <c r="K47" s="472"/>
      <c r="L47" s="472"/>
      <c r="M47" s="472"/>
      <c r="N47" s="180"/>
      <c r="O47" s="180"/>
      <c r="P47" s="180"/>
    </row>
    <row r="48" spans="1:16" ht="19.5" customHeight="1" x14ac:dyDescent="0.3">
      <c r="A48" s="209"/>
      <c r="B48" s="209"/>
      <c r="C48" s="209"/>
      <c r="D48" s="209"/>
      <c r="E48" s="209"/>
      <c r="F48" s="210"/>
      <c r="G48" s="471" t="str">
        <f>DATA!B16</f>
        <v>29  มีนาคม  ๒๕๖4</v>
      </c>
      <c r="H48" s="471"/>
      <c r="I48" s="471"/>
      <c r="J48" s="471"/>
      <c r="K48" s="210"/>
      <c r="L48" s="210"/>
      <c r="M48" s="209"/>
      <c r="N48" s="209"/>
      <c r="O48" s="209"/>
      <c r="P48" s="209"/>
    </row>
    <row r="49" spans="1:16" ht="20.25" x14ac:dyDescent="0.3">
      <c r="A49" s="209"/>
      <c r="B49" s="209"/>
      <c r="C49" s="209"/>
      <c r="D49" s="209"/>
      <c r="E49" s="209"/>
      <c r="F49" s="471" t="s">
        <v>166</v>
      </c>
      <c r="G49" s="471"/>
      <c r="H49" s="471"/>
      <c r="I49" s="471"/>
      <c r="J49" s="471"/>
      <c r="K49" s="471"/>
      <c r="L49" s="209"/>
      <c r="M49" s="209"/>
      <c r="N49" s="209"/>
      <c r="O49" s="209"/>
      <c r="P49" s="209"/>
    </row>
  </sheetData>
  <sheetProtection password="B007" sheet="1" objects="1" scenarios="1"/>
  <mergeCells count="42">
    <mergeCell ref="G48:J48"/>
    <mergeCell ref="F49:K49"/>
    <mergeCell ref="E46:L46"/>
    <mergeCell ref="M30:N30"/>
    <mergeCell ref="C31:D31"/>
    <mergeCell ref="E31:F31"/>
    <mergeCell ref="G31:H31"/>
    <mergeCell ref="I31:J31"/>
    <mergeCell ref="K31:L31"/>
    <mergeCell ref="J43:K43"/>
    <mergeCell ref="D43:E43"/>
    <mergeCell ref="E41:K41"/>
    <mergeCell ref="M31:N31"/>
    <mergeCell ref="D47:M47"/>
    <mergeCell ref="A26:D26"/>
    <mergeCell ref="M26:P26"/>
    <mergeCell ref="C29:H29"/>
    <mergeCell ref="I29:N29"/>
    <mergeCell ref="C30:D30"/>
    <mergeCell ref="E30:F30"/>
    <mergeCell ref="G30:H30"/>
    <mergeCell ref="I30:J30"/>
    <mergeCell ref="K30:L30"/>
    <mergeCell ref="A27:D27"/>
    <mergeCell ref="A16:P16"/>
    <mergeCell ref="A23:P23"/>
    <mergeCell ref="A24:D24"/>
    <mergeCell ref="E24:L24"/>
    <mergeCell ref="M24:P25"/>
    <mergeCell ref="A25:D25"/>
    <mergeCell ref="H18:N18"/>
    <mergeCell ref="H19:N19"/>
    <mergeCell ref="H20:N20"/>
    <mergeCell ref="H21:N21"/>
    <mergeCell ref="T9:X9"/>
    <mergeCell ref="N3:O3"/>
    <mergeCell ref="A15:P15"/>
    <mergeCell ref="A9:P9"/>
    <mergeCell ref="A10:P10"/>
    <mergeCell ref="A11:P11"/>
    <mergeCell ref="A12:P12"/>
    <mergeCell ref="A13:P13"/>
  </mergeCells>
  <pageMargins left="0.98425196850393704" right="0.47244094488188981" top="0.62992125984251968" bottom="0.6692913385826772" header="0.31496062992125984" footer="0.23622047244094491"/>
  <pageSetup paperSize="5" orientation="portrait" blackAndWhite="1" horizontalDpi="4294967293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CY164"/>
  <sheetViews>
    <sheetView zoomScale="110" zoomScaleNormal="110" zoomScaleSheetLayoutView="68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D40" sqref="D40"/>
    </sheetView>
  </sheetViews>
  <sheetFormatPr defaultRowHeight="18.75" x14ac:dyDescent="0.2"/>
  <cols>
    <col min="1" max="1" width="11.375" style="79" customWidth="1"/>
    <col min="2" max="2" width="14.625" style="79" customWidth="1"/>
    <col min="3" max="3" width="20.625" style="79" customWidth="1"/>
    <col min="4" max="4" width="31.125" style="79" customWidth="1"/>
    <col min="5" max="5" width="9.625" style="79" customWidth="1"/>
    <col min="6" max="6" width="5.625" style="81" customWidth="1"/>
    <col min="7" max="16" width="2.375" style="81" customWidth="1"/>
    <col min="17" max="17" width="0.125" style="81" customWidth="1"/>
    <col min="18" max="20" width="3.375" style="115" customWidth="1"/>
    <col min="21" max="30" width="2.375" style="81" customWidth="1"/>
    <col min="31" max="31" width="2.375" style="81" hidden="1" customWidth="1"/>
    <col min="32" max="32" width="3.375" style="116" customWidth="1"/>
    <col min="33" max="36" width="3.375" style="81" customWidth="1"/>
    <col min="37" max="37" width="3.375" style="117" customWidth="1"/>
    <col min="38" max="38" width="3.375" style="115" customWidth="1"/>
    <col min="39" max="39" width="4.625" style="81" customWidth="1"/>
    <col min="40" max="40" width="6.625" style="81" customWidth="1"/>
    <col min="41" max="45" width="3.5" style="81" customWidth="1"/>
    <col min="46" max="46" width="4.25" style="81" customWidth="1"/>
    <col min="47" max="47" width="7.625" style="81" customWidth="1"/>
    <col min="48" max="59" width="3.5" style="81" customWidth="1"/>
    <col min="60" max="60" width="4.375" style="81" customWidth="1"/>
    <col min="61" max="61" width="7.125" style="118" customWidth="1"/>
    <col min="62" max="62" width="8.25" style="81" customWidth="1"/>
    <col min="63" max="63" width="12.25" style="81" customWidth="1"/>
    <col min="64" max="64" width="60.625" style="81" customWidth="1"/>
    <col min="65" max="65" width="7.5" style="81" customWidth="1"/>
    <col min="66" max="67" width="6.875" style="81" customWidth="1"/>
    <col min="68" max="68" width="65.625" style="81" customWidth="1"/>
    <col min="69" max="69" width="7.375" style="79" customWidth="1"/>
    <col min="70" max="70" width="7" style="79" customWidth="1"/>
    <col min="71" max="71" width="9" style="79"/>
    <col min="72" max="72" width="8.875" style="79" customWidth="1"/>
    <col min="73" max="73" width="9" style="81" hidden="1" customWidth="1"/>
    <col min="74" max="103" width="9" style="81"/>
    <col min="104" max="16384" width="9" style="79"/>
  </cols>
  <sheetData>
    <row r="1" spans="1:103" ht="30" customHeight="1" thickBot="1" x14ac:dyDescent="0.25">
      <c r="A1" s="547" t="str">
        <f>DATA!B6</f>
        <v>ประถมศึกษาปีที่ ๔/๑</v>
      </c>
      <c r="B1" s="547"/>
      <c r="C1" s="547" t="str">
        <f>DATA!B3</f>
        <v>โรงเรียนมูลนิธิวัดปากบ่อ  เขตสวนหลวง  กรุงเทพมหานคร</v>
      </c>
      <c r="D1" s="547"/>
      <c r="E1" s="548" t="s">
        <v>129</v>
      </c>
      <c r="F1" s="541" t="str">
        <f>"การประเมินผลการเรียนรู้  กลุ่มสาระ"&amp;DATA!B7</f>
        <v>การประเมินผลการเรียนรู้  กลุ่มสาระภาษาไทย</v>
      </c>
      <c r="G1" s="542"/>
      <c r="H1" s="542"/>
      <c r="I1" s="542"/>
      <c r="J1" s="542"/>
      <c r="K1" s="542"/>
      <c r="L1" s="542"/>
      <c r="M1" s="542"/>
      <c r="N1" s="542"/>
      <c r="O1" s="542"/>
      <c r="P1" s="542"/>
      <c r="Q1" s="542"/>
      <c r="R1" s="542"/>
      <c r="S1" s="542"/>
      <c r="T1" s="542"/>
      <c r="U1" s="542"/>
      <c r="V1" s="542"/>
      <c r="W1" s="542"/>
      <c r="X1" s="542"/>
      <c r="Y1" s="542"/>
      <c r="Z1" s="542"/>
      <c r="AA1" s="542"/>
      <c r="AB1" s="542"/>
      <c r="AC1" s="542"/>
      <c r="AD1" s="542"/>
      <c r="AE1" s="542"/>
      <c r="AF1" s="542"/>
      <c r="AG1" s="542"/>
      <c r="AH1" s="542"/>
      <c r="AI1" s="542"/>
      <c r="AJ1" s="542"/>
      <c r="AK1" s="543"/>
      <c r="AL1" s="565" t="s">
        <v>6</v>
      </c>
      <c r="AM1" s="510" t="s">
        <v>7</v>
      </c>
      <c r="AN1" s="533" t="s">
        <v>0</v>
      </c>
      <c r="AO1" s="534"/>
      <c r="AP1" s="534"/>
      <c r="AQ1" s="534"/>
      <c r="AR1" s="534"/>
      <c r="AS1" s="534"/>
      <c r="AT1" s="534"/>
      <c r="AU1" s="535"/>
      <c r="AV1" s="533" t="s">
        <v>1</v>
      </c>
      <c r="AW1" s="534"/>
      <c r="AX1" s="534"/>
      <c r="AY1" s="534"/>
      <c r="AZ1" s="534"/>
      <c r="BA1" s="534"/>
      <c r="BB1" s="534"/>
      <c r="BC1" s="534"/>
      <c r="BD1" s="534"/>
      <c r="BE1" s="534"/>
      <c r="BF1" s="534"/>
      <c r="BG1" s="534"/>
      <c r="BH1" s="534"/>
      <c r="BI1" s="535"/>
      <c r="BJ1" s="521" t="str">
        <f>DATA!B8&amp;"  "&amp;"วิชา"&amp;DATA!B9</f>
        <v>รหัสวิชา ท14101  วิชาภาษาไทย</v>
      </c>
      <c r="BK1" s="522"/>
      <c r="BL1" s="522"/>
      <c r="BM1" s="523"/>
      <c r="BN1" s="513" t="str">
        <f>BJ1</f>
        <v>รหัสวิชา ท14101  วิชาภาษาไทย</v>
      </c>
      <c r="BO1" s="514"/>
      <c r="BP1" s="514"/>
      <c r="BQ1" s="515"/>
      <c r="BU1" s="80"/>
    </row>
    <row r="2" spans="1:103" ht="18.75" customHeight="1" x14ac:dyDescent="0.2">
      <c r="A2" s="544"/>
      <c r="B2" s="551" t="s">
        <v>3</v>
      </c>
      <c r="C2" s="551" t="s">
        <v>4</v>
      </c>
      <c r="D2" s="554" t="s">
        <v>5</v>
      </c>
      <c r="E2" s="549"/>
      <c r="F2" s="568" t="str">
        <f>BJ1</f>
        <v>รหัสวิชา ท14101  วิชาภาษาไทย</v>
      </c>
      <c r="G2" s="569"/>
      <c r="H2" s="569"/>
      <c r="I2" s="569"/>
      <c r="J2" s="569"/>
      <c r="K2" s="569"/>
      <c r="L2" s="569"/>
      <c r="M2" s="569"/>
      <c r="N2" s="569"/>
      <c r="O2" s="569"/>
      <c r="P2" s="569"/>
      <c r="Q2" s="569"/>
      <c r="R2" s="569"/>
      <c r="S2" s="569"/>
      <c r="T2" s="569"/>
      <c r="U2" s="569"/>
      <c r="V2" s="569"/>
      <c r="W2" s="569"/>
      <c r="X2" s="569"/>
      <c r="Y2" s="569"/>
      <c r="Z2" s="569"/>
      <c r="AA2" s="569"/>
      <c r="AB2" s="569"/>
      <c r="AC2" s="569"/>
      <c r="AD2" s="569"/>
      <c r="AE2" s="569"/>
      <c r="AF2" s="569"/>
      <c r="AG2" s="569"/>
      <c r="AH2" s="569"/>
      <c r="AI2" s="569"/>
      <c r="AJ2" s="569"/>
      <c r="AK2" s="570"/>
      <c r="AL2" s="566"/>
      <c r="AM2" s="511"/>
      <c r="AN2" s="559" t="s">
        <v>2</v>
      </c>
      <c r="AO2" s="562"/>
      <c r="AP2" s="538"/>
      <c r="AQ2" s="538"/>
      <c r="AR2" s="538"/>
      <c r="AS2" s="538"/>
      <c r="AT2" s="487" t="s">
        <v>8</v>
      </c>
      <c r="AU2" s="509" t="s">
        <v>9</v>
      </c>
      <c r="AV2" s="497" t="s">
        <v>10</v>
      </c>
      <c r="AW2" s="498"/>
      <c r="AX2" s="498"/>
      <c r="AY2" s="498"/>
      <c r="AZ2" s="498"/>
      <c r="BA2" s="499"/>
      <c r="BB2" s="497" t="s">
        <v>11</v>
      </c>
      <c r="BC2" s="498"/>
      <c r="BD2" s="498"/>
      <c r="BE2" s="498"/>
      <c r="BF2" s="498"/>
      <c r="BG2" s="499"/>
      <c r="BH2" s="527" t="s">
        <v>12</v>
      </c>
      <c r="BI2" s="492" t="s">
        <v>9</v>
      </c>
      <c r="BJ2" s="500" t="s">
        <v>13</v>
      </c>
      <c r="BK2" s="495" t="s">
        <v>14</v>
      </c>
      <c r="BL2" s="500" t="s">
        <v>164</v>
      </c>
      <c r="BM2" s="503" t="s">
        <v>16</v>
      </c>
      <c r="BN2" s="518" t="s">
        <v>90</v>
      </c>
      <c r="BO2" s="524" t="s">
        <v>91</v>
      </c>
      <c r="BP2" s="530" t="s">
        <v>165</v>
      </c>
      <c r="BQ2" s="518" t="s">
        <v>17</v>
      </c>
      <c r="BU2" s="82"/>
    </row>
    <row r="3" spans="1:103" ht="24" customHeight="1" thickBot="1" x14ac:dyDescent="0.25">
      <c r="A3" s="545"/>
      <c r="B3" s="552"/>
      <c r="C3" s="552"/>
      <c r="D3" s="555"/>
      <c r="E3" s="549"/>
      <c r="F3" s="571" t="str">
        <f>A1</f>
        <v>ประถมศึกษาปีที่ ๔/๑</v>
      </c>
      <c r="G3" s="572"/>
      <c r="H3" s="572"/>
      <c r="I3" s="572"/>
      <c r="J3" s="572"/>
      <c r="K3" s="572"/>
      <c r="L3" s="572"/>
      <c r="M3" s="572"/>
      <c r="N3" s="572"/>
      <c r="O3" s="572"/>
      <c r="P3" s="507" t="str">
        <f>"ครูผู้สอน "&amp;DATA!B10</f>
        <v>ครูผู้สอน -</v>
      </c>
      <c r="Q3" s="507"/>
      <c r="R3" s="507"/>
      <c r="S3" s="507"/>
      <c r="T3" s="507"/>
      <c r="U3" s="507"/>
      <c r="V3" s="507"/>
      <c r="W3" s="507"/>
      <c r="X3" s="507"/>
      <c r="Y3" s="507"/>
      <c r="Z3" s="507"/>
      <c r="AA3" s="507"/>
      <c r="AB3" s="507"/>
      <c r="AC3" s="507"/>
      <c r="AD3" s="507"/>
      <c r="AE3" s="507"/>
      <c r="AF3" s="507"/>
      <c r="AG3" s="507"/>
      <c r="AH3" s="507"/>
      <c r="AI3" s="507"/>
      <c r="AJ3" s="507"/>
      <c r="AK3" s="508"/>
      <c r="AL3" s="566"/>
      <c r="AM3" s="511"/>
      <c r="AN3" s="560"/>
      <c r="AO3" s="563"/>
      <c r="AP3" s="516"/>
      <c r="AQ3" s="516"/>
      <c r="AR3" s="516"/>
      <c r="AS3" s="516"/>
      <c r="AT3" s="488"/>
      <c r="AU3" s="481"/>
      <c r="AV3" s="539"/>
      <c r="AW3" s="490"/>
      <c r="AX3" s="490"/>
      <c r="AY3" s="483"/>
      <c r="AZ3" s="483"/>
      <c r="BA3" s="481" t="s">
        <v>8</v>
      </c>
      <c r="BB3" s="536"/>
      <c r="BC3" s="485"/>
      <c r="BD3" s="485"/>
      <c r="BE3" s="516"/>
      <c r="BF3" s="516"/>
      <c r="BG3" s="481" t="s">
        <v>8</v>
      </c>
      <c r="BH3" s="528"/>
      <c r="BI3" s="493"/>
      <c r="BJ3" s="501"/>
      <c r="BK3" s="496"/>
      <c r="BL3" s="501"/>
      <c r="BM3" s="504"/>
      <c r="BN3" s="519"/>
      <c r="BO3" s="525"/>
      <c r="BP3" s="531"/>
      <c r="BQ3" s="519"/>
      <c r="BU3" s="82"/>
    </row>
    <row r="4" spans="1:103" ht="30.75" customHeight="1" thickBot="1" x14ac:dyDescent="0.25">
      <c r="A4" s="546"/>
      <c r="B4" s="552"/>
      <c r="C4" s="552"/>
      <c r="D4" s="555"/>
      <c r="E4" s="549"/>
      <c r="F4" s="211" t="s">
        <v>90</v>
      </c>
      <c r="G4" s="212">
        <v>1</v>
      </c>
      <c r="H4" s="213">
        <v>2</v>
      </c>
      <c r="I4" s="213">
        <v>3</v>
      </c>
      <c r="J4" s="213">
        <v>4</v>
      </c>
      <c r="K4" s="213">
        <v>5</v>
      </c>
      <c r="L4" s="213">
        <v>6</v>
      </c>
      <c r="M4" s="213">
        <v>7</v>
      </c>
      <c r="N4" s="213">
        <v>8</v>
      </c>
      <c r="O4" s="213">
        <v>9</v>
      </c>
      <c r="P4" s="214">
        <v>10</v>
      </c>
      <c r="Q4" s="215"/>
      <c r="R4" s="216" t="s">
        <v>18</v>
      </c>
      <c r="S4" s="217" t="s">
        <v>19</v>
      </c>
      <c r="T4" s="218" t="s">
        <v>20</v>
      </c>
      <c r="U4" s="212">
        <v>11</v>
      </c>
      <c r="V4" s="213">
        <v>12</v>
      </c>
      <c r="W4" s="213">
        <v>13</v>
      </c>
      <c r="X4" s="213">
        <v>14</v>
      </c>
      <c r="Y4" s="213">
        <v>15</v>
      </c>
      <c r="Z4" s="213">
        <v>16</v>
      </c>
      <c r="AA4" s="213">
        <v>17</v>
      </c>
      <c r="AB4" s="213">
        <v>18</v>
      </c>
      <c r="AC4" s="213">
        <v>19</v>
      </c>
      <c r="AD4" s="214">
        <v>20</v>
      </c>
      <c r="AE4" s="215"/>
      <c r="AF4" s="219" t="s">
        <v>18</v>
      </c>
      <c r="AG4" s="220" t="s">
        <v>19</v>
      </c>
      <c r="AH4" s="221" t="s">
        <v>20</v>
      </c>
      <c r="AI4" s="557" t="s">
        <v>21</v>
      </c>
      <c r="AJ4" s="558"/>
      <c r="AK4" s="222" t="s">
        <v>22</v>
      </c>
      <c r="AL4" s="566"/>
      <c r="AM4" s="511"/>
      <c r="AN4" s="560"/>
      <c r="AO4" s="563"/>
      <c r="AP4" s="516"/>
      <c r="AQ4" s="516"/>
      <c r="AR4" s="516"/>
      <c r="AS4" s="516"/>
      <c r="AT4" s="488"/>
      <c r="AU4" s="481"/>
      <c r="AV4" s="539"/>
      <c r="AW4" s="490"/>
      <c r="AX4" s="490"/>
      <c r="AY4" s="483"/>
      <c r="AZ4" s="483"/>
      <c r="BA4" s="481"/>
      <c r="BB4" s="536"/>
      <c r="BC4" s="485"/>
      <c r="BD4" s="485"/>
      <c r="BE4" s="516"/>
      <c r="BF4" s="516"/>
      <c r="BG4" s="481"/>
      <c r="BH4" s="528"/>
      <c r="BI4" s="493"/>
      <c r="BJ4" s="501"/>
      <c r="BK4" s="496" t="s">
        <v>15</v>
      </c>
      <c r="BL4" s="501"/>
      <c r="BM4" s="504"/>
      <c r="BN4" s="519"/>
      <c r="BO4" s="525"/>
      <c r="BP4" s="531"/>
      <c r="BQ4" s="519"/>
      <c r="BU4" s="80"/>
    </row>
    <row r="5" spans="1:103" ht="30" customHeight="1" thickBot="1" x14ac:dyDescent="0.25">
      <c r="A5" s="328" t="s">
        <v>2</v>
      </c>
      <c r="B5" s="553"/>
      <c r="C5" s="553"/>
      <c r="D5" s="556"/>
      <c r="E5" s="550"/>
      <c r="F5" s="223" t="s">
        <v>163</v>
      </c>
      <c r="G5" s="176"/>
      <c r="H5" s="177"/>
      <c r="I5" s="177"/>
      <c r="J5" s="177"/>
      <c r="K5" s="177"/>
      <c r="L5" s="177"/>
      <c r="M5" s="177"/>
      <c r="N5" s="177"/>
      <c r="O5" s="177"/>
      <c r="P5" s="177"/>
      <c r="Q5" s="251">
        <f>SUM(G5:P5)</f>
        <v>0</v>
      </c>
      <c r="R5" s="224">
        <f>DATA!$C$17</f>
        <v>70</v>
      </c>
      <c r="S5" s="252">
        <f>DATA!$D$17</f>
        <v>30</v>
      </c>
      <c r="T5" s="225">
        <f>SUM($S$5)+$R$5</f>
        <v>100</v>
      </c>
      <c r="U5" s="176">
        <v>10</v>
      </c>
      <c r="V5" s="177">
        <v>10</v>
      </c>
      <c r="W5" s="177">
        <v>10</v>
      </c>
      <c r="X5" s="177">
        <v>10</v>
      </c>
      <c r="Y5" s="177">
        <v>10</v>
      </c>
      <c r="Z5" s="177">
        <v>10</v>
      </c>
      <c r="AA5" s="177">
        <v>10</v>
      </c>
      <c r="AB5" s="177"/>
      <c r="AC5" s="177"/>
      <c r="AD5" s="177"/>
      <c r="AE5" s="250">
        <f>SUM(U5:AD5)</f>
        <v>70</v>
      </c>
      <c r="AF5" s="226">
        <f>DATA!$C$17</f>
        <v>70</v>
      </c>
      <c r="AG5" s="252">
        <f>DATA!$D$17</f>
        <v>30</v>
      </c>
      <c r="AH5" s="225">
        <f>SUM(AG5)+AF5</f>
        <v>100</v>
      </c>
      <c r="AI5" s="226">
        <v>1</v>
      </c>
      <c r="AJ5" s="227">
        <v>2</v>
      </c>
      <c r="AK5" s="228">
        <f>AH5+T5</f>
        <v>200</v>
      </c>
      <c r="AL5" s="567"/>
      <c r="AM5" s="512"/>
      <c r="AN5" s="561"/>
      <c r="AO5" s="564"/>
      <c r="AP5" s="517"/>
      <c r="AQ5" s="517"/>
      <c r="AR5" s="517"/>
      <c r="AS5" s="517"/>
      <c r="AT5" s="489"/>
      <c r="AU5" s="482"/>
      <c r="AV5" s="540"/>
      <c r="AW5" s="491"/>
      <c r="AX5" s="491"/>
      <c r="AY5" s="484"/>
      <c r="AZ5" s="484"/>
      <c r="BA5" s="482"/>
      <c r="BB5" s="537"/>
      <c r="BC5" s="486"/>
      <c r="BD5" s="486"/>
      <c r="BE5" s="517"/>
      <c r="BF5" s="517"/>
      <c r="BG5" s="482"/>
      <c r="BH5" s="529"/>
      <c r="BI5" s="494"/>
      <c r="BJ5" s="502"/>
      <c r="BK5" s="506"/>
      <c r="BL5" s="502"/>
      <c r="BM5" s="505"/>
      <c r="BN5" s="520"/>
      <c r="BO5" s="526"/>
      <c r="BP5" s="532"/>
      <c r="BQ5" s="520"/>
      <c r="BU5" s="82"/>
    </row>
    <row r="6" spans="1:103" ht="16.5" customHeight="1" x14ac:dyDescent="0.3">
      <c r="A6" s="253">
        <v>1</v>
      </c>
      <c r="B6" s="403" t="s">
        <v>421</v>
      </c>
      <c r="C6" s="399" t="s">
        <v>389</v>
      </c>
      <c r="D6" s="400" t="s">
        <v>357</v>
      </c>
      <c r="E6" s="150" t="s">
        <v>130</v>
      </c>
      <c r="F6" s="229">
        <f t="shared" ref="F6:F37" si="0">IF(ISBLANK(D6)," ",A6)</f>
        <v>1</v>
      </c>
      <c r="G6" s="71"/>
      <c r="H6" s="72"/>
      <c r="I6" s="72"/>
      <c r="J6" s="72"/>
      <c r="K6" s="72"/>
      <c r="L6" s="72"/>
      <c r="M6" s="72"/>
      <c r="N6" s="68"/>
      <c r="O6" s="68"/>
      <c r="P6" s="68"/>
      <c r="Q6" s="254"/>
      <c r="R6" s="263" t="e">
        <f>IF(ISBLANK(D6)," ",SUM(G6:P6)*R5/Q5)</f>
        <v>#DIV/0!</v>
      </c>
      <c r="S6" s="356">
        <v>0</v>
      </c>
      <c r="T6" s="264" t="e">
        <f t="shared" ref="T6:T37" si="1">IF(ISBLANK(S6)," ",SUM(R6:S6))</f>
        <v>#DIV/0!</v>
      </c>
      <c r="U6" s="67"/>
      <c r="V6" s="68"/>
      <c r="W6" s="68"/>
      <c r="X6" s="68"/>
      <c r="Y6" s="68"/>
      <c r="Z6" s="68"/>
      <c r="AA6" s="68"/>
      <c r="AB6" s="68"/>
      <c r="AC6" s="68"/>
      <c r="AD6" s="69"/>
      <c r="AE6" s="254"/>
      <c r="AF6" s="269">
        <f>IF(ISBLANK(D6)," ",SUM(U6:AD6)*AF5/AE5)</f>
        <v>0</v>
      </c>
      <c r="AG6" s="357">
        <v>20</v>
      </c>
      <c r="AH6" s="264">
        <f>IF(ISBLANK(AG6)," ",SUM(AF6:AG6))</f>
        <v>20</v>
      </c>
      <c r="AI6" s="272" t="e">
        <f>IF(ISBLANK(T6)," ",T6)</f>
        <v>#DIV/0!</v>
      </c>
      <c r="AJ6" s="273">
        <f>IF(ISBLANK(AH6)," ",AH6)</f>
        <v>20</v>
      </c>
      <c r="AK6" s="274" t="e">
        <f>IF(ISBLANK(AJ6)," ",SUM(AI6:AJ6))</f>
        <v>#DIV/0!</v>
      </c>
      <c r="AL6" s="275" t="e">
        <f t="shared" ref="AL6:AL37" si="2">IF(ISBLANK(D6)," ",IF(AK6&gt;=179.5,"4",IF(AK6&gt;=174.5,"3.5",IF(AK6&gt;=169.5,"3",IF(AK6&gt;=164.5,"2.5",IF(AK6&gt;=159.5,"2",IF(AK6&gt;=154.5,"1.5",IF(AK6&gt;=149.5,"1","0"))))))
))</f>
        <v>#DIV/0!</v>
      </c>
      <c r="AM6" s="70"/>
      <c r="AN6" s="232">
        <f t="shared" ref="AN6:AN37" si="3">IF(ISBLANK(D6)," ",A6)</f>
        <v>1</v>
      </c>
      <c r="AO6" s="92"/>
      <c r="AP6" s="91"/>
      <c r="AQ6" s="83"/>
      <c r="AR6" s="83"/>
      <c r="AS6" s="83"/>
      <c r="AT6" s="285" t="e">
        <f t="shared" ref="AT6:AT37" si="4">IF(ISBLANK(D6)," ",MODE(AO6:AS6))</f>
        <v>#N/A</v>
      </c>
      <c r="AU6" s="286" t="e">
        <f t="shared" ref="AU6:AU37" si="5">IF(ISBLANK(D6)," ",IF(AT6&gt;=3,"ดีเยี่ยม",IF(AT6&gt;=2,"ดี","ผ่าน")))</f>
        <v>#N/A</v>
      </c>
      <c r="AV6" s="84"/>
      <c r="AW6" s="83"/>
      <c r="AX6" s="83"/>
      <c r="AY6" s="83"/>
      <c r="AZ6" s="83"/>
      <c r="BA6" s="291" t="e">
        <f t="shared" ref="BA6:BA37" si="6">IF(ISBLANK(D6)," ",MODE(AV6:AZ6))</f>
        <v>#N/A</v>
      </c>
      <c r="BB6" s="84"/>
      <c r="BC6" s="83"/>
      <c r="BD6" s="83"/>
      <c r="BE6" s="83"/>
      <c r="BF6" s="83"/>
      <c r="BG6" s="294" t="e">
        <f t="shared" ref="BG6:BG37" si="7">IF(ISBLANK(D6)," ",MODE(BB6:BF6))</f>
        <v>#N/A</v>
      </c>
      <c r="BH6" s="295" t="e">
        <f t="shared" ref="BH6:BH37" si="8">IF(ISBLANK(D6)," ",ROUNDUP(AVERAGE(BA6,BG6),0))</f>
        <v>#N/A</v>
      </c>
      <c r="BI6" s="296" t="e">
        <f t="shared" ref="BI6:BI37" si="9">IF(ISBLANK(D6)," ",IF(BH6&gt;=3,"ดีเยี่ยม",IF(BH6&gt;=2,"ดี","ผ่าน")))</f>
        <v>#N/A</v>
      </c>
      <c r="BJ6" s="255">
        <v>1</v>
      </c>
      <c r="BK6" s="86"/>
      <c r="BL6" s="86"/>
      <c r="BM6" s="87"/>
      <c r="BN6" s="235">
        <v>1</v>
      </c>
      <c r="BO6" s="163"/>
      <c r="BP6" s="407"/>
      <c r="BQ6" s="238">
        <f>G5</f>
        <v>0</v>
      </c>
      <c r="BU6" s="88" t="s">
        <v>130</v>
      </c>
    </row>
    <row r="7" spans="1:103" ht="16.5" customHeight="1" x14ac:dyDescent="0.3">
      <c r="A7" s="256">
        <v>2</v>
      </c>
      <c r="B7" s="403" t="s">
        <v>422</v>
      </c>
      <c r="C7" s="401" t="s">
        <v>390</v>
      </c>
      <c r="D7" s="402" t="s">
        <v>358</v>
      </c>
      <c r="E7" s="134" t="s">
        <v>130</v>
      </c>
      <c r="F7" s="230">
        <f t="shared" si="0"/>
        <v>2</v>
      </c>
      <c r="G7" s="71"/>
      <c r="H7" s="72"/>
      <c r="I7" s="72"/>
      <c r="J7" s="72"/>
      <c r="K7" s="72"/>
      <c r="L7" s="72"/>
      <c r="M7" s="72"/>
      <c r="N7" s="68"/>
      <c r="O7" s="72"/>
      <c r="P7" s="73"/>
      <c r="Q7" s="257"/>
      <c r="R7" s="265" t="e">
        <f>IF(ISBLANK(D7)," ",SUM(G7:P7)*R5/Q5)</f>
        <v>#DIV/0!</v>
      </c>
      <c r="S7" s="357">
        <v>0</v>
      </c>
      <c r="T7" s="266" t="e">
        <f t="shared" si="1"/>
        <v>#DIV/0!</v>
      </c>
      <c r="U7" s="71"/>
      <c r="V7" s="72"/>
      <c r="W7" s="72"/>
      <c r="X7" s="72"/>
      <c r="Y7" s="72"/>
      <c r="Z7" s="72"/>
      <c r="AA7" s="72"/>
      <c r="AB7" s="72"/>
      <c r="AC7" s="72"/>
      <c r="AD7" s="72"/>
      <c r="AE7" s="257"/>
      <c r="AF7" s="270">
        <f>IF(ISBLANK(D7)," ",SUM(U7:AD7)*AF5/AE5)</f>
        <v>0</v>
      </c>
      <c r="AG7" s="357">
        <v>19</v>
      </c>
      <c r="AH7" s="266">
        <f>IF(ISBLANK(AG7)," ",SUM(AF7:AG7))</f>
        <v>19</v>
      </c>
      <c r="AI7" s="276" t="e">
        <f t="shared" ref="AI7:AI55" si="10">IF(ISBLANK(T7)," ",T7)</f>
        <v>#DIV/0!</v>
      </c>
      <c r="AJ7" s="277">
        <f>IF(ISBLANK(AH7)," ",AH7)</f>
        <v>19</v>
      </c>
      <c r="AK7" s="278" t="e">
        <f t="shared" ref="AK7:AK38" si="11">IF(ISBLANK(D7)," ",SUM(AI7:AJ7))</f>
        <v>#DIV/0!</v>
      </c>
      <c r="AL7" s="279" t="e">
        <f t="shared" si="2"/>
        <v>#DIV/0!</v>
      </c>
      <c r="AM7" s="74"/>
      <c r="AN7" s="233">
        <f t="shared" si="3"/>
        <v>2</v>
      </c>
      <c r="AO7" s="92"/>
      <c r="AP7" s="91"/>
      <c r="AQ7" s="91"/>
      <c r="AR7" s="91"/>
      <c r="AS7" s="91"/>
      <c r="AT7" s="287" t="e">
        <f t="shared" si="4"/>
        <v>#N/A</v>
      </c>
      <c r="AU7" s="288" t="e">
        <f t="shared" si="5"/>
        <v>#N/A</v>
      </c>
      <c r="AV7" s="92"/>
      <c r="AW7" s="91"/>
      <c r="AX7" s="91"/>
      <c r="AY7" s="91"/>
      <c r="AZ7" s="91"/>
      <c r="BA7" s="292" t="e">
        <f t="shared" si="6"/>
        <v>#N/A</v>
      </c>
      <c r="BB7" s="92"/>
      <c r="BC7" s="91"/>
      <c r="BD7" s="91"/>
      <c r="BE7" s="91"/>
      <c r="BF7" s="91"/>
      <c r="BG7" s="297" t="e">
        <f t="shared" si="7"/>
        <v>#N/A</v>
      </c>
      <c r="BH7" s="298" t="e">
        <f t="shared" si="8"/>
        <v>#N/A</v>
      </c>
      <c r="BI7" s="292" t="e">
        <f t="shared" si="9"/>
        <v>#N/A</v>
      </c>
      <c r="BJ7" s="258">
        <v>2</v>
      </c>
      <c r="BK7" s="94"/>
      <c r="BL7" s="94"/>
      <c r="BM7" s="95"/>
      <c r="BN7" s="230">
        <v>2</v>
      </c>
      <c r="BO7" s="164"/>
      <c r="BP7" s="96"/>
      <c r="BQ7" s="239">
        <f>H5</f>
        <v>0</v>
      </c>
      <c r="BU7" s="88" t="s">
        <v>132</v>
      </c>
    </row>
    <row r="8" spans="1:103" ht="16.5" customHeight="1" x14ac:dyDescent="0.3">
      <c r="A8" s="256">
        <v>3</v>
      </c>
      <c r="B8" s="403" t="s">
        <v>423</v>
      </c>
      <c r="C8" s="401" t="s">
        <v>391</v>
      </c>
      <c r="D8" s="402" t="s">
        <v>359</v>
      </c>
      <c r="E8" s="134" t="s">
        <v>130</v>
      </c>
      <c r="F8" s="230">
        <f t="shared" si="0"/>
        <v>3</v>
      </c>
      <c r="G8" s="71"/>
      <c r="H8" s="72"/>
      <c r="I8" s="72"/>
      <c r="J8" s="72"/>
      <c r="K8" s="72"/>
      <c r="L8" s="72"/>
      <c r="M8" s="72"/>
      <c r="N8" s="68"/>
      <c r="O8" s="72"/>
      <c r="P8" s="73"/>
      <c r="Q8" s="257"/>
      <c r="R8" s="265" t="e">
        <f>IF(ISBLANK(D8)," ",SUM(G8:P8)*R5/Q5)</f>
        <v>#DIV/0!</v>
      </c>
      <c r="S8" s="357">
        <v>0</v>
      </c>
      <c r="T8" s="266" t="e">
        <f t="shared" si="1"/>
        <v>#DIV/0!</v>
      </c>
      <c r="U8" s="71"/>
      <c r="V8" s="72"/>
      <c r="W8" s="72"/>
      <c r="X8" s="72"/>
      <c r="Y8" s="72"/>
      <c r="Z8" s="72"/>
      <c r="AA8" s="72"/>
      <c r="AB8" s="72"/>
      <c r="AC8" s="72"/>
      <c r="AD8" s="73"/>
      <c r="AE8" s="257"/>
      <c r="AF8" s="270">
        <f>IF(ISBLANK(D8)," ",SUM(U8:AD8)*AF5/AE5)</f>
        <v>0</v>
      </c>
      <c r="AG8" s="357">
        <v>40</v>
      </c>
      <c r="AH8" s="266">
        <f t="shared" ref="AH8:AH54" si="12">IF(ISBLANK(AG8)," ",SUM(AF8:AG8))</f>
        <v>40</v>
      </c>
      <c r="AI8" s="276" t="e">
        <f t="shared" si="10"/>
        <v>#DIV/0!</v>
      </c>
      <c r="AJ8" s="277">
        <f t="shared" ref="AJ8:AJ55" si="13">IF(ISBLANK(AH8)," ",AH8)</f>
        <v>40</v>
      </c>
      <c r="AK8" s="278" t="e">
        <f t="shared" si="11"/>
        <v>#DIV/0!</v>
      </c>
      <c r="AL8" s="279" t="e">
        <f t="shared" si="2"/>
        <v>#DIV/0!</v>
      </c>
      <c r="AM8" s="74"/>
      <c r="AN8" s="233">
        <f t="shared" si="3"/>
        <v>3</v>
      </c>
      <c r="AO8" s="92"/>
      <c r="AP8" s="91"/>
      <c r="AQ8" s="91"/>
      <c r="AR8" s="91"/>
      <c r="AS8" s="91"/>
      <c r="AT8" s="287" t="e">
        <f t="shared" si="4"/>
        <v>#N/A</v>
      </c>
      <c r="AU8" s="288" t="e">
        <f t="shared" si="5"/>
        <v>#N/A</v>
      </c>
      <c r="AV8" s="92"/>
      <c r="AW8" s="91"/>
      <c r="AX8" s="91"/>
      <c r="AY8" s="91"/>
      <c r="AZ8" s="91"/>
      <c r="BA8" s="292" t="e">
        <f t="shared" si="6"/>
        <v>#N/A</v>
      </c>
      <c r="BB8" s="92"/>
      <c r="BC8" s="91"/>
      <c r="BD8" s="91"/>
      <c r="BE8" s="91"/>
      <c r="BF8" s="91"/>
      <c r="BG8" s="297" t="e">
        <f t="shared" si="7"/>
        <v>#N/A</v>
      </c>
      <c r="BH8" s="298" t="e">
        <f t="shared" si="8"/>
        <v>#N/A</v>
      </c>
      <c r="BI8" s="292" t="e">
        <f t="shared" si="9"/>
        <v>#N/A</v>
      </c>
      <c r="BJ8" s="258">
        <v>3</v>
      </c>
      <c r="BK8" s="94"/>
      <c r="BL8" s="94"/>
      <c r="BM8" s="95"/>
      <c r="BN8" s="230">
        <v>3</v>
      </c>
      <c r="BO8" s="164"/>
      <c r="BP8" s="96"/>
      <c r="BQ8" s="239">
        <f>I5</f>
        <v>0</v>
      </c>
      <c r="BU8" s="88" t="s">
        <v>131</v>
      </c>
    </row>
    <row r="9" spans="1:103" s="98" customFormat="1" ht="16.5" customHeight="1" x14ac:dyDescent="0.3">
      <c r="A9" s="256">
        <v>4</v>
      </c>
      <c r="B9" s="403" t="s">
        <v>424</v>
      </c>
      <c r="C9" s="401" t="s">
        <v>392</v>
      </c>
      <c r="D9" s="402" t="s">
        <v>360</v>
      </c>
      <c r="E9" s="134" t="s">
        <v>130</v>
      </c>
      <c r="F9" s="230">
        <f t="shared" si="0"/>
        <v>4</v>
      </c>
      <c r="G9" s="71"/>
      <c r="H9" s="72"/>
      <c r="I9" s="72"/>
      <c r="J9" s="72"/>
      <c r="K9" s="72"/>
      <c r="L9" s="72"/>
      <c r="M9" s="72"/>
      <c r="N9" s="68"/>
      <c r="O9" s="72"/>
      <c r="P9" s="73"/>
      <c r="Q9" s="257"/>
      <c r="R9" s="265" t="e">
        <f>IF(ISBLANK(D9)," ",SUM(G9:P9)*R5/Q5)</f>
        <v>#DIV/0!</v>
      </c>
      <c r="S9" s="357">
        <v>0</v>
      </c>
      <c r="T9" s="266" t="e">
        <f t="shared" si="1"/>
        <v>#DIV/0!</v>
      </c>
      <c r="U9" s="71"/>
      <c r="V9" s="72"/>
      <c r="W9" s="72"/>
      <c r="X9" s="72"/>
      <c r="Y9" s="72"/>
      <c r="Z9" s="72"/>
      <c r="AA9" s="72"/>
      <c r="AB9" s="72"/>
      <c r="AC9" s="72"/>
      <c r="AD9" s="73"/>
      <c r="AE9" s="257"/>
      <c r="AF9" s="270">
        <f>IF(ISBLANK(D9)," ",SUM(U9:AD9)*AF5/AE5)</f>
        <v>0</v>
      </c>
      <c r="AG9" s="357">
        <v>40</v>
      </c>
      <c r="AH9" s="266">
        <f t="shared" si="12"/>
        <v>40</v>
      </c>
      <c r="AI9" s="276" t="e">
        <f t="shared" si="10"/>
        <v>#DIV/0!</v>
      </c>
      <c r="AJ9" s="277">
        <f t="shared" si="13"/>
        <v>40</v>
      </c>
      <c r="AK9" s="280" t="e">
        <f t="shared" si="11"/>
        <v>#DIV/0!</v>
      </c>
      <c r="AL9" s="279" t="e">
        <f t="shared" si="2"/>
        <v>#DIV/0!</v>
      </c>
      <c r="AM9" s="74"/>
      <c r="AN9" s="233">
        <f t="shared" si="3"/>
        <v>4</v>
      </c>
      <c r="AO9" s="92"/>
      <c r="AP9" s="91"/>
      <c r="AQ9" s="91"/>
      <c r="AR9" s="91"/>
      <c r="AS9" s="91"/>
      <c r="AT9" s="287" t="e">
        <f t="shared" si="4"/>
        <v>#N/A</v>
      </c>
      <c r="AU9" s="288" t="e">
        <f t="shared" si="5"/>
        <v>#N/A</v>
      </c>
      <c r="AV9" s="92"/>
      <c r="AW9" s="91"/>
      <c r="AX9" s="91"/>
      <c r="AY9" s="91"/>
      <c r="AZ9" s="91"/>
      <c r="BA9" s="292" t="e">
        <f t="shared" si="6"/>
        <v>#N/A</v>
      </c>
      <c r="BB9" s="92"/>
      <c r="BC9" s="91"/>
      <c r="BD9" s="91"/>
      <c r="BE9" s="91"/>
      <c r="BF9" s="91"/>
      <c r="BG9" s="297" t="e">
        <f t="shared" si="7"/>
        <v>#N/A</v>
      </c>
      <c r="BH9" s="298" t="e">
        <f t="shared" si="8"/>
        <v>#N/A</v>
      </c>
      <c r="BI9" s="292" t="e">
        <f t="shared" si="9"/>
        <v>#N/A</v>
      </c>
      <c r="BJ9" s="258">
        <v>4</v>
      </c>
      <c r="BK9" s="94"/>
      <c r="BL9" s="94"/>
      <c r="BM9" s="97"/>
      <c r="BN9" s="230">
        <v>4</v>
      </c>
      <c r="BO9" s="164"/>
      <c r="BP9" s="96"/>
      <c r="BQ9" s="239">
        <f>J5</f>
        <v>0</v>
      </c>
      <c r="BU9" s="88"/>
      <c r="BV9" s="80"/>
      <c r="BW9" s="80"/>
      <c r="BX9" s="80"/>
      <c r="BY9" s="80"/>
      <c r="BZ9" s="80"/>
      <c r="CA9" s="80"/>
      <c r="CB9" s="80"/>
      <c r="CC9" s="80"/>
      <c r="CD9" s="80"/>
      <c r="CE9" s="80"/>
      <c r="CF9" s="80"/>
      <c r="CG9" s="80"/>
      <c r="CH9" s="80"/>
      <c r="CI9" s="80"/>
      <c r="CJ9" s="80"/>
      <c r="CK9" s="80"/>
      <c r="CL9" s="80"/>
      <c r="CM9" s="80"/>
      <c r="CN9" s="80"/>
      <c r="CO9" s="80"/>
      <c r="CP9" s="80"/>
      <c r="CQ9" s="80"/>
      <c r="CR9" s="80"/>
      <c r="CS9" s="80"/>
      <c r="CT9" s="80"/>
      <c r="CU9" s="80"/>
      <c r="CV9" s="80"/>
      <c r="CW9" s="80"/>
      <c r="CX9" s="80"/>
      <c r="CY9" s="80"/>
    </row>
    <row r="10" spans="1:103" ht="16.5" customHeight="1" x14ac:dyDescent="0.3">
      <c r="A10" s="256">
        <v>5</v>
      </c>
      <c r="B10" s="403" t="s">
        <v>425</v>
      </c>
      <c r="C10" s="401" t="s">
        <v>393</v>
      </c>
      <c r="D10" s="402" t="s">
        <v>361</v>
      </c>
      <c r="E10" s="134" t="s">
        <v>130</v>
      </c>
      <c r="F10" s="230">
        <f t="shared" si="0"/>
        <v>5</v>
      </c>
      <c r="G10" s="71"/>
      <c r="H10" s="72"/>
      <c r="I10" s="72"/>
      <c r="J10" s="72"/>
      <c r="K10" s="72"/>
      <c r="L10" s="72"/>
      <c r="M10" s="72"/>
      <c r="N10" s="68"/>
      <c r="O10" s="72"/>
      <c r="P10" s="73"/>
      <c r="Q10" s="257"/>
      <c r="R10" s="265" t="e">
        <f>IF(ISBLANK(D10)," ",SUM(G10:P10)*R5/Q5)</f>
        <v>#DIV/0!</v>
      </c>
      <c r="S10" s="357">
        <v>0</v>
      </c>
      <c r="T10" s="266" t="e">
        <f t="shared" si="1"/>
        <v>#DIV/0!</v>
      </c>
      <c r="U10" s="71"/>
      <c r="V10" s="72"/>
      <c r="W10" s="72"/>
      <c r="X10" s="72"/>
      <c r="Y10" s="72"/>
      <c r="Z10" s="72"/>
      <c r="AA10" s="72"/>
      <c r="AB10" s="72"/>
      <c r="AC10" s="72"/>
      <c r="AD10" s="73"/>
      <c r="AE10" s="257"/>
      <c r="AF10" s="270">
        <f>IF(ISBLANK(D10)," ",SUM(U10:AD10)*AF5/AE5)</f>
        <v>0</v>
      </c>
      <c r="AG10" s="357">
        <v>40</v>
      </c>
      <c r="AH10" s="266">
        <f t="shared" si="12"/>
        <v>40</v>
      </c>
      <c r="AI10" s="276" t="e">
        <f t="shared" si="10"/>
        <v>#DIV/0!</v>
      </c>
      <c r="AJ10" s="277">
        <f t="shared" si="13"/>
        <v>40</v>
      </c>
      <c r="AK10" s="280" t="e">
        <f t="shared" si="11"/>
        <v>#DIV/0!</v>
      </c>
      <c r="AL10" s="279" t="e">
        <f t="shared" si="2"/>
        <v>#DIV/0!</v>
      </c>
      <c r="AM10" s="74"/>
      <c r="AN10" s="233">
        <f t="shared" si="3"/>
        <v>5</v>
      </c>
      <c r="AO10" s="92"/>
      <c r="AP10" s="91"/>
      <c r="AQ10" s="91"/>
      <c r="AR10" s="91"/>
      <c r="AS10" s="91"/>
      <c r="AT10" s="287" t="e">
        <f t="shared" si="4"/>
        <v>#N/A</v>
      </c>
      <c r="AU10" s="288" t="e">
        <f t="shared" si="5"/>
        <v>#N/A</v>
      </c>
      <c r="AV10" s="92"/>
      <c r="AW10" s="91"/>
      <c r="AX10" s="91"/>
      <c r="AY10" s="91"/>
      <c r="AZ10" s="91"/>
      <c r="BA10" s="292" t="e">
        <f t="shared" si="6"/>
        <v>#N/A</v>
      </c>
      <c r="BB10" s="92"/>
      <c r="BC10" s="91"/>
      <c r="BD10" s="91"/>
      <c r="BE10" s="91"/>
      <c r="BF10" s="91"/>
      <c r="BG10" s="297" t="e">
        <f t="shared" si="7"/>
        <v>#N/A</v>
      </c>
      <c r="BH10" s="298" t="e">
        <f t="shared" si="8"/>
        <v>#N/A</v>
      </c>
      <c r="BI10" s="292" t="e">
        <f t="shared" si="9"/>
        <v>#N/A</v>
      </c>
      <c r="BJ10" s="258">
        <v>5</v>
      </c>
      <c r="BK10" s="94"/>
      <c r="BL10" s="94"/>
      <c r="BM10" s="95"/>
      <c r="BN10" s="230">
        <v>5</v>
      </c>
      <c r="BO10" s="164"/>
      <c r="BP10" s="96"/>
      <c r="BQ10" s="239">
        <f>K5</f>
        <v>0</v>
      </c>
      <c r="BU10" s="88"/>
    </row>
    <row r="11" spans="1:103" ht="16.5" customHeight="1" x14ac:dyDescent="0.3">
      <c r="A11" s="256">
        <v>6</v>
      </c>
      <c r="B11" s="403" t="s">
        <v>426</v>
      </c>
      <c r="C11" s="401" t="s">
        <v>394</v>
      </c>
      <c r="D11" s="402" t="s">
        <v>362</v>
      </c>
      <c r="E11" s="134" t="s">
        <v>130</v>
      </c>
      <c r="F11" s="230">
        <f t="shared" si="0"/>
        <v>6</v>
      </c>
      <c r="G11" s="71"/>
      <c r="H11" s="72"/>
      <c r="I11" s="72"/>
      <c r="J11" s="72"/>
      <c r="K11" s="72"/>
      <c r="L11" s="72"/>
      <c r="M11" s="72"/>
      <c r="N11" s="68"/>
      <c r="O11" s="72"/>
      <c r="P11" s="73"/>
      <c r="Q11" s="257"/>
      <c r="R11" s="265" t="e">
        <f>IF(ISBLANK(D11)," ",SUM(G11:P11)*R5/Q5)</f>
        <v>#DIV/0!</v>
      </c>
      <c r="S11" s="357">
        <v>0</v>
      </c>
      <c r="T11" s="266" t="e">
        <f t="shared" si="1"/>
        <v>#DIV/0!</v>
      </c>
      <c r="U11" s="71"/>
      <c r="V11" s="72"/>
      <c r="W11" s="72"/>
      <c r="X11" s="72"/>
      <c r="Y11" s="72"/>
      <c r="Z11" s="72"/>
      <c r="AA11" s="72"/>
      <c r="AB11" s="72"/>
      <c r="AC11" s="72"/>
      <c r="AD11" s="73"/>
      <c r="AE11" s="257"/>
      <c r="AF11" s="270">
        <f>IF(ISBLANK(D11)," ",SUM(U11:AD11)*AF5/AE5)</f>
        <v>0</v>
      </c>
      <c r="AG11" s="357">
        <v>40</v>
      </c>
      <c r="AH11" s="266">
        <f t="shared" si="12"/>
        <v>40</v>
      </c>
      <c r="AI11" s="276" t="e">
        <f t="shared" si="10"/>
        <v>#DIV/0!</v>
      </c>
      <c r="AJ11" s="277">
        <f t="shared" si="13"/>
        <v>40</v>
      </c>
      <c r="AK11" s="278" t="e">
        <f t="shared" si="11"/>
        <v>#DIV/0!</v>
      </c>
      <c r="AL11" s="279" t="e">
        <f t="shared" si="2"/>
        <v>#DIV/0!</v>
      </c>
      <c r="AM11" s="74"/>
      <c r="AN11" s="233">
        <f t="shared" si="3"/>
        <v>6</v>
      </c>
      <c r="AO11" s="92"/>
      <c r="AP11" s="91"/>
      <c r="AQ11" s="91"/>
      <c r="AR11" s="91"/>
      <c r="AS11" s="91"/>
      <c r="AT11" s="287" t="e">
        <f t="shared" si="4"/>
        <v>#N/A</v>
      </c>
      <c r="AU11" s="288" t="e">
        <f t="shared" si="5"/>
        <v>#N/A</v>
      </c>
      <c r="AV11" s="92"/>
      <c r="AW11" s="91"/>
      <c r="AX11" s="91"/>
      <c r="AY11" s="91"/>
      <c r="AZ11" s="91"/>
      <c r="BA11" s="292" t="e">
        <f t="shared" si="6"/>
        <v>#N/A</v>
      </c>
      <c r="BB11" s="92"/>
      <c r="BC11" s="91"/>
      <c r="BD11" s="91"/>
      <c r="BE11" s="91"/>
      <c r="BF11" s="91"/>
      <c r="BG11" s="297" t="e">
        <f t="shared" si="7"/>
        <v>#N/A</v>
      </c>
      <c r="BH11" s="298" t="e">
        <f t="shared" si="8"/>
        <v>#N/A</v>
      </c>
      <c r="BI11" s="292" t="e">
        <f t="shared" si="9"/>
        <v>#N/A</v>
      </c>
      <c r="BJ11" s="258">
        <v>6</v>
      </c>
      <c r="BK11" s="94"/>
      <c r="BL11" s="94"/>
      <c r="BM11" s="95"/>
      <c r="BN11" s="230">
        <v>6</v>
      </c>
      <c r="BO11" s="164"/>
      <c r="BP11" s="96"/>
      <c r="BQ11" s="239">
        <f>L5</f>
        <v>0</v>
      </c>
      <c r="BU11" s="88"/>
    </row>
    <row r="12" spans="1:103" ht="16.5" customHeight="1" x14ac:dyDescent="0.3">
      <c r="A12" s="256">
        <v>7</v>
      </c>
      <c r="B12" s="403" t="s">
        <v>427</v>
      </c>
      <c r="C12" s="401" t="s">
        <v>395</v>
      </c>
      <c r="D12" s="402" t="s">
        <v>363</v>
      </c>
      <c r="E12" s="134" t="s">
        <v>130</v>
      </c>
      <c r="F12" s="230">
        <f t="shared" si="0"/>
        <v>7</v>
      </c>
      <c r="G12" s="71"/>
      <c r="H12" s="72"/>
      <c r="I12" s="72"/>
      <c r="J12" s="72"/>
      <c r="K12" s="72"/>
      <c r="L12" s="72"/>
      <c r="M12" s="72"/>
      <c r="N12" s="68"/>
      <c r="O12" s="72"/>
      <c r="P12" s="73"/>
      <c r="Q12" s="257"/>
      <c r="R12" s="265" t="e">
        <f>IF(ISBLANK(D12)," ",SUM(G12:P12)*R5/Q5)</f>
        <v>#DIV/0!</v>
      </c>
      <c r="S12" s="357">
        <v>0</v>
      </c>
      <c r="T12" s="266" t="e">
        <f t="shared" si="1"/>
        <v>#DIV/0!</v>
      </c>
      <c r="U12" s="71"/>
      <c r="V12" s="72"/>
      <c r="W12" s="72"/>
      <c r="X12" s="72"/>
      <c r="Y12" s="72"/>
      <c r="Z12" s="72"/>
      <c r="AA12" s="72"/>
      <c r="AB12" s="72"/>
      <c r="AC12" s="72"/>
      <c r="AD12" s="73"/>
      <c r="AE12" s="257"/>
      <c r="AF12" s="270">
        <f>IF(ISBLANK(D12)," ",SUM(U12:AD12)*AF5/AE5)</f>
        <v>0</v>
      </c>
      <c r="AG12" s="357">
        <v>40</v>
      </c>
      <c r="AH12" s="266">
        <f t="shared" si="12"/>
        <v>40</v>
      </c>
      <c r="AI12" s="276" t="e">
        <f t="shared" si="10"/>
        <v>#DIV/0!</v>
      </c>
      <c r="AJ12" s="277">
        <f t="shared" si="13"/>
        <v>40</v>
      </c>
      <c r="AK12" s="278" t="e">
        <f t="shared" si="11"/>
        <v>#DIV/0!</v>
      </c>
      <c r="AL12" s="279" t="e">
        <f t="shared" si="2"/>
        <v>#DIV/0!</v>
      </c>
      <c r="AM12" s="74"/>
      <c r="AN12" s="233">
        <f t="shared" si="3"/>
        <v>7</v>
      </c>
      <c r="AO12" s="92"/>
      <c r="AP12" s="91"/>
      <c r="AQ12" s="91"/>
      <c r="AR12" s="91"/>
      <c r="AS12" s="91"/>
      <c r="AT12" s="287" t="e">
        <f t="shared" si="4"/>
        <v>#N/A</v>
      </c>
      <c r="AU12" s="288" t="e">
        <f t="shared" si="5"/>
        <v>#N/A</v>
      </c>
      <c r="AV12" s="92"/>
      <c r="AW12" s="91"/>
      <c r="AX12" s="91"/>
      <c r="AY12" s="91"/>
      <c r="AZ12" s="91"/>
      <c r="BA12" s="292" t="e">
        <f t="shared" si="6"/>
        <v>#N/A</v>
      </c>
      <c r="BB12" s="92"/>
      <c r="BC12" s="91"/>
      <c r="BD12" s="91"/>
      <c r="BE12" s="91"/>
      <c r="BF12" s="91"/>
      <c r="BG12" s="297" t="e">
        <f t="shared" si="7"/>
        <v>#N/A</v>
      </c>
      <c r="BH12" s="298" t="e">
        <f t="shared" si="8"/>
        <v>#N/A</v>
      </c>
      <c r="BI12" s="292" t="e">
        <f t="shared" si="9"/>
        <v>#N/A</v>
      </c>
      <c r="BJ12" s="258">
        <v>7</v>
      </c>
      <c r="BK12" s="94"/>
      <c r="BL12" s="94"/>
      <c r="BM12" s="95"/>
      <c r="BN12" s="230">
        <v>7</v>
      </c>
      <c r="BO12" s="164"/>
      <c r="BP12" s="96"/>
      <c r="BQ12" s="239">
        <f>M5</f>
        <v>0</v>
      </c>
      <c r="BU12" s="88"/>
    </row>
    <row r="13" spans="1:103" ht="16.5" customHeight="1" x14ac:dyDescent="0.3">
      <c r="A13" s="256">
        <v>8</v>
      </c>
      <c r="B13" s="403" t="s">
        <v>428</v>
      </c>
      <c r="C13" s="401" t="s">
        <v>396</v>
      </c>
      <c r="D13" s="402" t="s">
        <v>364</v>
      </c>
      <c r="E13" s="134" t="s">
        <v>130</v>
      </c>
      <c r="F13" s="230">
        <f t="shared" si="0"/>
        <v>8</v>
      </c>
      <c r="G13" s="71"/>
      <c r="H13" s="72"/>
      <c r="I13" s="72"/>
      <c r="J13" s="72"/>
      <c r="K13" s="72"/>
      <c r="L13" s="72"/>
      <c r="M13" s="72"/>
      <c r="N13" s="68"/>
      <c r="O13" s="72"/>
      <c r="P13" s="73"/>
      <c r="Q13" s="257"/>
      <c r="R13" s="265" t="e">
        <f>IF(ISBLANK(D13)," ",SUM(G13:P13)*R5/Q5)</f>
        <v>#DIV/0!</v>
      </c>
      <c r="S13" s="357">
        <v>0</v>
      </c>
      <c r="T13" s="266" t="e">
        <f t="shared" si="1"/>
        <v>#DIV/0!</v>
      </c>
      <c r="U13" s="71"/>
      <c r="V13" s="72"/>
      <c r="W13" s="72"/>
      <c r="X13" s="72"/>
      <c r="Y13" s="72"/>
      <c r="Z13" s="72"/>
      <c r="AA13" s="72"/>
      <c r="AB13" s="72"/>
      <c r="AC13" s="72"/>
      <c r="AD13" s="73"/>
      <c r="AE13" s="257"/>
      <c r="AF13" s="270">
        <f>IF(ISBLANK(D13)," ",SUM(U13:AD13)*AF5/AE5)</f>
        <v>0</v>
      </c>
      <c r="AG13" s="357">
        <v>40</v>
      </c>
      <c r="AH13" s="266">
        <f t="shared" si="12"/>
        <v>40</v>
      </c>
      <c r="AI13" s="276" t="e">
        <f t="shared" si="10"/>
        <v>#DIV/0!</v>
      </c>
      <c r="AJ13" s="277">
        <f t="shared" si="13"/>
        <v>40</v>
      </c>
      <c r="AK13" s="278" t="e">
        <f t="shared" si="11"/>
        <v>#DIV/0!</v>
      </c>
      <c r="AL13" s="279" t="e">
        <f t="shared" si="2"/>
        <v>#DIV/0!</v>
      </c>
      <c r="AM13" s="74"/>
      <c r="AN13" s="233">
        <f t="shared" si="3"/>
        <v>8</v>
      </c>
      <c r="AO13" s="154"/>
      <c r="AP13" s="91"/>
      <c r="AQ13" s="91"/>
      <c r="AR13" s="91"/>
      <c r="AS13" s="91"/>
      <c r="AT13" s="287" t="e">
        <f t="shared" si="4"/>
        <v>#N/A</v>
      </c>
      <c r="AU13" s="288" t="e">
        <f t="shared" si="5"/>
        <v>#N/A</v>
      </c>
      <c r="AV13" s="92"/>
      <c r="AW13" s="91"/>
      <c r="AX13" s="91"/>
      <c r="AY13" s="91"/>
      <c r="AZ13" s="91"/>
      <c r="BA13" s="292" t="e">
        <f t="shared" si="6"/>
        <v>#N/A</v>
      </c>
      <c r="BB13" s="92"/>
      <c r="BC13" s="91"/>
      <c r="BD13" s="91"/>
      <c r="BE13" s="91"/>
      <c r="BF13" s="91"/>
      <c r="BG13" s="297" t="e">
        <f t="shared" si="7"/>
        <v>#N/A</v>
      </c>
      <c r="BH13" s="298" t="e">
        <f t="shared" si="8"/>
        <v>#N/A</v>
      </c>
      <c r="BI13" s="292" t="e">
        <f t="shared" si="9"/>
        <v>#N/A</v>
      </c>
      <c r="BJ13" s="258">
        <v>8</v>
      </c>
      <c r="BK13" s="94"/>
      <c r="BL13" s="94"/>
      <c r="BM13" s="95"/>
      <c r="BN13" s="230">
        <v>8</v>
      </c>
      <c r="BO13" s="164"/>
      <c r="BP13" s="96"/>
      <c r="BQ13" s="239">
        <f>N5</f>
        <v>0</v>
      </c>
      <c r="BU13" s="88"/>
    </row>
    <row r="14" spans="1:103" ht="16.5" customHeight="1" x14ac:dyDescent="0.3">
      <c r="A14" s="256">
        <v>9</v>
      </c>
      <c r="B14" s="403" t="s">
        <v>429</v>
      </c>
      <c r="C14" s="401" t="s">
        <v>397</v>
      </c>
      <c r="D14" s="402" t="s">
        <v>365</v>
      </c>
      <c r="E14" s="134" t="s">
        <v>130</v>
      </c>
      <c r="F14" s="230">
        <f t="shared" si="0"/>
        <v>9</v>
      </c>
      <c r="G14" s="71"/>
      <c r="H14" s="72"/>
      <c r="I14" s="72"/>
      <c r="J14" s="72"/>
      <c r="K14" s="72"/>
      <c r="L14" s="72"/>
      <c r="M14" s="72"/>
      <c r="N14" s="68"/>
      <c r="O14" s="72"/>
      <c r="P14" s="73"/>
      <c r="Q14" s="257"/>
      <c r="R14" s="265" t="e">
        <f>IF(ISBLANK(D14)," ",SUM(G14:P14)*R5/Q5)</f>
        <v>#DIV/0!</v>
      </c>
      <c r="S14" s="357">
        <v>0</v>
      </c>
      <c r="T14" s="266" t="e">
        <f t="shared" si="1"/>
        <v>#DIV/0!</v>
      </c>
      <c r="U14" s="71"/>
      <c r="V14" s="72"/>
      <c r="W14" s="72"/>
      <c r="X14" s="72"/>
      <c r="Y14" s="72"/>
      <c r="Z14" s="72"/>
      <c r="AA14" s="72"/>
      <c r="AB14" s="72"/>
      <c r="AC14" s="72"/>
      <c r="AD14" s="73"/>
      <c r="AE14" s="257"/>
      <c r="AF14" s="270">
        <f>IF(ISBLANK(D14)," ",SUM(U14:AD14)*AF5/AE5)</f>
        <v>0</v>
      </c>
      <c r="AG14" s="357">
        <v>40</v>
      </c>
      <c r="AH14" s="266">
        <f t="shared" si="12"/>
        <v>40</v>
      </c>
      <c r="AI14" s="276" t="e">
        <f t="shared" si="10"/>
        <v>#DIV/0!</v>
      </c>
      <c r="AJ14" s="277">
        <f t="shared" si="13"/>
        <v>40</v>
      </c>
      <c r="AK14" s="278" t="e">
        <f t="shared" si="11"/>
        <v>#DIV/0!</v>
      </c>
      <c r="AL14" s="279" t="e">
        <f t="shared" si="2"/>
        <v>#DIV/0!</v>
      </c>
      <c r="AM14" s="74"/>
      <c r="AN14" s="233">
        <f t="shared" si="3"/>
        <v>9</v>
      </c>
      <c r="AO14" s="92"/>
      <c r="AP14" s="91"/>
      <c r="AQ14" s="91"/>
      <c r="AR14" s="91"/>
      <c r="AS14" s="91"/>
      <c r="AT14" s="287" t="e">
        <f t="shared" si="4"/>
        <v>#N/A</v>
      </c>
      <c r="AU14" s="288" t="e">
        <f t="shared" si="5"/>
        <v>#N/A</v>
      </c>
      <c r="AV14" s="92"/>
      <c r="AW14" s="91"/>
      <c r="AX14" s="91"/>
      <c r="AY14" s="91"/>
      <c r="AZ14" s="91"/>
      <c r="BA14" s="292" t="e">
        <f t="shared" si="6"/>
        <v>#N/A</v>
      </c>
      <c r="BB14" s="84"/>
      <c r="BC14" s="83"/>
      <c r="BD14" s="91"/>
      <c r="BE14" s="91"/>
      <c r="BF14" s="91"/>
      <c r="BG14" s="297" t="e">
        <f t="shared" si="7"/>
        <v>#N/A</v>
      </c>
      <c r="BH14" s="298" t="e">
        <f t="shared" si="8"/>
        <v>#N/A</v>
      </c>
      <c r="BI14" s="292" t="e">
        <f t="shared" si="9"/>
        <v>#N/A</v>
      </c>
      <c r="BJ14" s="258">
        <v>9</v>
      </c>
      <c r="BK14" s="94"/>
      <c r="BL14" s="94"/>
      <c r="BM14" s="95"/>
      <c r="BN14" s="230">
        <v>9</v>
      </c>
      <c r="BO14" s="164"/>
      <c r="BP14" s="96"/>
      <c r="BQ14" s="239">
        <f>O5</f>
        <v>0</v>
      </c>
      <c r="BU14" s="88"/>
    </row>
    <row r="15" spans="1:103" ht="16.5" customHeight="1" thickBot="1" x14ac:dyDescent="0.35">
      <c r="A15" s="256">
        <v>10</v>
      </c>
      <c r="B15" s="403" t="s">
        <v>430</v>
      </c>
      <c r="C15" s="401" t="s">
        <v>398</v>
      </c>
      <c r="D15" s="402" t="s">
        <v>366</v>
      </c>
      <c r="E15" s="134" t="s">
        <v>130</v>
      </c>
      <c r="F15" s="230">
        <f t="shared" si="0"/>
        <v>10</v>
      </c>
      <c r="G15" s="71"/>
      <c r="H15" s="72"/>
      <c r="I15" s="72"/>
      <c r="J15" s="72"/>
      <c r="K15" s="72"/>
      <c r="L15" s="72"/>
      <c r="M15" s="72"/>
      <c r="N15" s="68"/>
      <c r="O15" s="72"/>
      <c r="P15" s="73"/>
      <c r="Q15" s="257"/>
      <c r="R15" s="265" t="e">
        <f>IF(ISBLANK(D15)," ",SUM(G15:P15)*R5/Q5)</f>
        <v>#DIV/0!</v>
      </c>
      <c r="S15" s="357">
        <v>0</v>
      </c>
      <c r="T15" s="266" t="e">
        <f t="shared" si="1"/>
        <v>#DIV/0!</v>
      </c>
      <c r="U15" s="71"/>
      <c r="V15" s="72"/>
      <c r="W15" s="72"/>
      <c r="X15" s="72"/>
      <c r="Y15" s="72"/>
      <c r="Z15" s="72"/>
      <c r="AA15" s="72"/>
      <c r="AB15" s="72"/>
      <c r="AC15" s="72"/>
      <c r="AD15" s="73"/>
      <c r="AE15" s="257"/>
      <c r="AF15" s="270">
        <f>IF(ISBLANK(D15)," ",SUM(U15:AD15)*AF5/AE5)</f>
        <v>0</v>
      </c>
      <c r="AG15" s="357">
        <v>40</v>
      </c>
      <c r="AH15" s="266">
        <f t="shared" si="12"/>
        <v>40</v>
      </c>
      <c r="AI15" s="276" t="e">
        <f t="shared" si="10"/>
        <v>#DIV/0!</v>
      </c>
      <c r="AJ15" s="277">
        <f t="shared" si="13"/>
        <v>40</v>
      </c>
      <c r="AK15" s="278" t="e">
        <f t="shared" si="11"/>
        <v>#DIV/0!</v>
      </c>
      <c r="AL15" s="279" t="e">
        <f t="shared" si="2"/>
        <v>#DIV/0!</v>
      </c>
      <c r="AM15" s="74"/>
      <c r="AN15" s="233">
        <f t="shared" si="3"/>
        <v>10</v>
      </c>
      <c r="AO15" s="92"/>
      <c r="AP15" s="91"/>
      <c r="AQ15" s="91"/>
      <c r="AR15" s="91"/>
      <c r="AS15" s="91"/>
      <c r="AT15" s="287" t="e">
        <f t="shared" si="4"/>
        <v>#N/A</v>
      </c>
      <c r="AU15" s="288" t="e">
        <f t="shared" si="5"/>
        <v>#N/A</v>
      </c>
      <c r="AV15" s="92"/>
      <c r="AW15" s="91"/>
      <c r="AX15" s="91"/>
      <c r="AY15" s="91"/>
      <c r="AZ15" s="91"/>
      <c r="BA15" s="292" t="e">
        <f t="shared" si="6"/>
        <v>#N/A</v>
      </c>
      <c r="BB15" s="92"/>
      <c r="BC15" s="91"/>
      <c r="BD15" s="91"/>
      <c r="BE15" s="91"/>
      <c r="BF15" s="91"/>
      <c r="BG15" s="297" t="e">
        <f t="shared" si="7"/>
        <v>#N/A</v>
      </c>
      <c r="BH15" s="298" t="e">
        <f t="shared" si="8"/>
        <v>#N/A</v>
      </c>
      <c r="BI15" s="292" t="e">
        <f t="shared" si="9"/>
        <v>#N/A</v>
      </c>
      <c r="BJ15" s="258">
        <v>10</v>
      </c>
      <c r="BK15" s="94"/>
      <c r="BL15" s="94"/>
      <c r="BM15" s="85"/>
      <c r="BN15" s="230">
        <v>10</v>
      </c>
      <c r="BO15" s="164"/>
      <c r="BP15" s="96" t="s">
        <v>300</v>
      </c>
      <c r="BQ15" s="240">
        <f>P5</f>
        <v>0</v>
      </c>
      <c r="BU15" s="88"/>
    </row>
    <row r="16" spans="1:103" ht="16.5" customHeight="1" x14ac:dyDescent="0.3">
      <c r="A16" s="256">
        <v>11</v>
      </c>
      <c r="B16" s="403" t="s">
        <v>431</v>
      </c>
      <c r="C16" s="401" t="s">
        <v>399</v>
      </c>
      <c r="D16" s="402" t="s">
        <v>367</v>
      </c>
      <c r="E16" s="134" t="s">
        <v>130</v>
      </c>
      <c r="F16" s="230">
        <f t="shared" si="0"/>
        <v>11</v>
      </c>
      <c r="G16" s="71"/>
      <c r="H16" s="72"/>
      <c r="I16" s="72"/>
      <c r="J16" s="72"/>
      <c r="K16" s="72"/>
      <c r="L16" s="72"/>
      <c r="M16" s="72"/>
      <c r="N16" s="68"/>
      <c r="O16" s="72"/>
      <c r="P16" s="73"/>
      <c r="Q16" s="257"/>
      <c r="R16" s="265" t="e">
        <f>IF(ISBLANK(D16)," ",SUM(G16:P16)*R5/Q5)</f>
        <v>#DIV/0!</v>
      </c>
      <c r="S16" s="357">
        <v>0</v>
      </c>
      <c r="T16" s="266" t="e">
        <f t="shared" si="1"/>
        <v>#DIV/0!</v>
      </c>
      <c r="U16" s="71"/>
      <c r="V16" s="72"/>
      <c r="W16" s="72"/>
      <c r="X16" s="72"/>
      <c r="Y16" s="72"/>
      <c r="Z16" s="72"/>
      <c r="AA16" s="72"/>
      <c r="AB16" s="72"/>
      <c r="AC16" s="72"/>
      <c r="AD16" s="73"/>
      <c r="AE16" s="257"/>
      <c r="AF16" s="270">
        <f>IF(ISBLANK(D16)," ",SUM(U16:AD16)*AF5/AE5)</f>
        <v>0</v>
      </c>
      <c r="AG16" s="357">
        <v>40</v>
      </c>
      <c r="AH16" s="266">
        <f t="shared" si="12"/>
        <v>40</v>
      </c>
      <c r="AI16" s="276" t="e">
        <f t="shared" si="10"/>
        <v>#DIV/0!</v>
      </c>
      <c r="AJ16" s="277">
        <f t="shared" si="13"/>
        <v>40</v>
      </c>
      <c r="AK16" s="278" t="e">
        <f t="shared" si="11"/>
        <v>#DIV/0!</v>
      </c>
      <c r="AL16" s="279" t="e">
        <f t="shared" si="2"/>
        <v>#DIV/0!</v>
      </c>
      <c r="AM16" s="74"/>
      <c r="AN16" s="233">
        <f t="shared" si="3"/>
        <v>11</v>
      </c>
      <c r="AO16" s="92"/>
      <c r="AP16" s="91"/>
      <c r="AQ16" s="91"/>
      <c r="AR16" s="91"/>
      <c r="AS16" s="91"/>
      <c r="AT16" s="287" t="e">
        <f t="shared" si="4"/>
        <v>#N/A</v>
      </c>
      <c r="AU16" s="288" t="e">
        <f t="shared" si="5"/>
        <v>#N/A</v>
      </c>
      <c r="AV16" s="92"/>
      <c r="AW16" s="91"/>
      <c r="AX16" s="91"/>
      <c r="AY16" s="91"/>
      <c r="AZ16" s="91"/>
      <c r="BA16" s="292" t="e">
        <f t="shared" si="6"/>
        <v>#N/A</v>
      </c>
      <c r="BB16" s="92"/>
      <c r="BC16" s="91"/>
      <c r="BD16" s="91"/>
      <c r="BE16" s="91"/>
      <c r="BF16" s="91"/>
      <c r="BG16" s="297" t="e">
        <f t="shared" si="7"/>
        <v>#N/A</v>
      </c>
      <c r="BH16" s="298" t="e">
        <f t="shared" si="8"/>
        <v>#N/A</v>
      </c>
      <c r="BI16" s="292" t="e">
        <f t="shared" si="9"/>
        <v>#N/A</v>
      </c>
      <c r="BJ16" s="258">
        <v>11</v>
      </c>
      <c r="BK16" s="94"/>
      <c r="BL16" s="94"/>
      <c r="BM16" s="93"/>
      <c r="BN16" s="230"/>
      <c r="BO16" s="156"/>
      <c r="BP16" s="161" t="s">
        <v>88</v>
      </c>
      <c r="BQ16" s="241">
        <f>R5</f>
        <v>70</v>
      </c>
      <c r="BU16" s="99"/>
    </row>
    <row r="17" spans="1:77" ht="16.5" customHeight="1" x14ac:dyDescent="0.3">
      <c r="A17" s="256">
        <v>12</v>
      </c>
      <c r="B17" s="403" t="s">
        <v>432</v>
      </c>
      <c r="C17" s="401" t="s">
        <v>400</v>
      </c>
      <c r="D17" s="402" t="s">
        <v>368</v>
      </c>
      <c r="E17" s="134" t="s">
        <v>130</v>
      </c>
      <c r="F17" s="230">
        <f t="shared" si="0"/>
        <v>12</v>
      </c>
      <c r="G17" s="71"/>
      <c r="H17" s="72"/>
      <c r="I17" s="72"/>
      <c r="J17" s="72"/>
      <c r="K17" s="72"/>
      <c r="L17" s="72"/>
      <c r="M17" s="72"/>
      <c r="N17" s="68"/>
      <c r="O17" s="72"/>
      <c r="P17" s="73"/>
      <c r="Q17" s="257"/>
      <c r="R17" s="265" t="e">
        <f>IF(ISBLANK(D17)," ",SUM(G17:P17)*R5/Q5)</f>
        <v>#DIV/0!</v>
      </c>
      <c r="S17" s="357">
        <v>0</v>
      </c>
      <c r="T17" s="266" t="e">
        <f t="shared" si="1"/>
        <v>#DIV/0!</v>
      </c>
      <c r="U17" s="71"/>
      <c r="V17" s="72"/>
      <c r="W17" s="72"/>
      <c r="X17" s="72"/>
      <c r="Y17" s="72"/>
      <c r="Z17" s="72"/>
      <c r="AA17" s="72"/>
      <c r="AB17" s="72"/>
      <c r="AC17" s="72"/>
      <c r="AD17" s="73"/>
      <c r="AE17" s="257"/>
      <c r="AF17" s="270">
        <f>IF(ISBLANK(D17)," ",SUM(U17:AD17)*AF5/AE5)</f>
        <v>0</v>
      </c>
      <c r="AG17" s="357">
        <v>40</v>
      </c>
      <c r="AH17" s="266">
        <f t="shared" si="12"/>
        <v>40</v>
      </c>
      <c r="AI17" s="276" t="e">
        <f t="shared" si="10"/>
        <v>#DIV/0!</v>
      </c>
      <c r="AJ17" s="277">
        <f t="shared" si="13"/>
        <v>40</v>
      </c>
      <c r="AK17" s="278" t="e">
        <f t="shared" si="11"/>
        <v>#DIV/0!</v>
      </c>
      <c r="AL17" s="279" t="e">
        <f t="shared" si="2"/>
        <v>#DIV/0!</v>
      </c>
      <c r="AM17" s="74"/>
      <c r="AN17" s="233">
        <f t="shared" si="3"/>
        <v>12</v>
      </c>
      <c r="AO17" s="92"/>
      <c r="AP17" s="91"/>
      <c r="AQ17" s="91"/>
      <c r="AR17" s="91"/>
      <c r="AS17" s="91"/>
      <c r="AT17" s="287" t="e">
        <f t="shared" si="4"/>
        <v>#N/A</v>
      </c>
      <c r="AU17" s="288" t="e">
        <f t="shared" si="5"/>
        <v>#N/A</v>
      </c>
      <c r="AV17" s="92"/>
      <c r="AW17" s="91"/>
      <c r="AX17" s="91"/>
      <c r="AY17" s="91"/>
      <c r="AZ17" s="91"/>
      <c r="BA17" s="292" t="e">
        <f t="shared" si="6"/>
        <v>#N/A</v>
      </c>
      <c r="BB17" s="92"/>
      <c r="BC17" s="91"/>
      <c r="BD17" s="91"/>
      <c r="BE17" s="91"/>
      <c r="BF17" s="91"/>
      <c r="BG17" s="297" t="e">
        <f t="shared" si="7"/>
        <v>#N/A</v>
      </c>
      <c r="BH17" s="298" t="e">
        <f t="shared" si="8"/>
        <v>#N/A</v>
      </c>
      <c r="BI17" s="292" t="e">
        <f t="shared" si="9"/>
        <v>#N/A</v>
      </c>
      <c r="BJ17" s="258">
        <v>12</v>
      </c>
      <c r="BK17" s="94"/>
      <c r="BL17" s="94"/>
      <c r="BM17" s="93"/>
      <c r="BN17" s="230"/>
      <c r="BO17" s="156"/>
      <c r="BP17" s="161" t="s">
        <v>19</v>
      </c>
      <c r="BQ17" s="242">
        <f>S5</f>
        <v>30</v>
      </c>
      <c r="BU17" s="80"/>
    </row>
    <row r="18" spans="1:77" ht="16.5" customHeight="1" thickBot="1" x14ac:dyDescent="0.35">
      <c r="A18" s="256">
        <v>13</v>
      </c>
      <c r="B18" s="403" t="s">
        <v>433</v>
      </c>
      <c r="C18" s="401" t="s">
        <v>401</v>
      </c>
      <c r="D18" s="402" t="s">
        <v>369</v>
      </c>
      <c r="E18" s="134" t="s">
        <v>130</v>
      </c>
      <c r="F18" s="230">
        <f t="shared" si="0"/>
        <v>13</v>
      </c>
      <c r="G18" s="71"/>
      <c r="H18" s="72"/>
      <c r="I18" s="72"/>
      <c r="J18" s="72"/>
      <c r="K18" s="72"/>
      <c r="L18" s="72"/>
      <c r="M18" s="72"/>
      <c r="N18" s="68"/>
      <c r="O18" s="72"/>
      <c r="P18" s="73"/>
      <c r="Q18" s="257"/>
      <c r="R18" s="265" t="e">
        <f>IF(ISBLANK(D18)," ",SUM(G18:P18)*R5/Q5)</f>
        <v>#DIV/0!</v>
      </c>
      <c r="S18" s="357">
        <v>0</v>
      </c>
      <c r="T18" s="266" t="e">
        <f t="shared" si="1"/>
        <v>#DIV/0!</v>
      </c>
      <c r="U18" s="71"/>
      <c r="V18" s="72"/>
      <c r="W18" s="72"/>
      <c r="X18" s="72"/>
      <c r="Y18" s="72"/>
      <c r="Z18" s="72"/>
      <c r="AA18" s="72"/>
      <c r="AB18" s="72"/>
      <c r="AC18" s="72"/>
      <c r="AD18" s="73"/>
      <c r="AE18" s="257"/>
      <c r="AF18" s="270">
        <f>IF(ISBLANK(D18)," ",SUM(U18:AD18)*AF5/AE5)</f>
        <v>0</v>
      </c>
      <c r="AG18" s="357">
        <v>40</v>
      </c>
      <c r="AH18" s="266">
        <f t="shared" si="12"/>
        <v>40</v>
      </c>
      <c r="AI18" s="276" t="e">
        <f t="shared" si="10"/>
        <v>#DIV/0!</v>
      </c>
      <c r="AJ18" s="277">
        <f t="shared" si="13"/>
        <v>40</v>
      </c>
      <c r="AK18" s="278" t="e">
        <f t="shared" si="11"/>
        <v>#DIV/0!</v>
      </c>
      <c r="AL18" s="279" t="e">
        <f t="shared" si="2"/>
        <v>#DIV/0!</v>
      </c>
      <c r="AM18" s="74"/>
      <c r="AN18" s="233">
        <f t="shared" si="3"/>
        <v>13</v>
      </c>
      <c r="AO18" s="92"/>
      <c r="AP18" s="91"/>
      <c r="AQ18" s="91"/>
      <c r="AR18" s="91"/>
      <c r="AS18" s="91"/>
      <c r="AT18" s="287" t="e">
        <f t="shared" si="4"/>
        <v>#N/A</v>
      </c>
      <c r="AU18" s="288" t="e">
        <f t="shared" si="5"/>
        <v>#N/A</v>
      </c>
      <c r="AV18" s="92"/>
      <c r="AW18" s="91"/>
      <c r="AX18" s="91"/>
      <c r="AY18" s="91"/>
      <c r="AZ18" s="91"/>
      <c r="BA18" s="292" t="e">
        <f t="shared" si="6"/>
        <v>#N/A</v>
      </c>
      <c r="BB18" s="92"/>
      <c r="BC18" s="91"/>
      <c r="BD18" s="91"/>
      <c r="BE18" s="91"/>
      <c r="BF18" s="91"/>
      <c r="BG18" s="297" t="e">
        <f t="shared" si="7"/>
        <v>#N/A</v>
      </c>
      <c r="BH18" s="298" t="e">
        <f t="shared" si="8"/>
        <v>#N/A</v>
      </c>
      <c r="BI18" s="292" t="e">
        <f t="shared" si="9"/>
        <v>#N/A</v>
      </c>
      <c r="BJ18" s="258">
        <v>13</v>
      </c>
      <c r="BK18" s="94"/>
      <c r="BL18" s="94"/>
      <c r="BM18" s="93"/>
      <c r="BN18" s="231"/>
      <c r="BO18" s="157"/>
      <c r="BP18" s="162" t="s">
        <v>89</v>
      </c>
      <c r="BQ18" s="243">
        <f>T5</f>
        <v>100</v>
      </c>
      <c r="BU18" s="80"/>
    </row>
    <row r="19" spans="1:77" ht="16.5" customHeight="1" x14ac:dyDescent="0.3">
      <c r="A19" s="256">
        <v>14</v>
      </c>
      <c r="B19" s="403" t="s">
        <v>434</v>
      </c>
      <c r="C19" s="401" t="s">
        <v>402</v>
      </c>
      <c r="D19" s="402" t="s">
        <v>370</v>
      </c>
      <c r="E19" s="134" t="s">
        <v>130</v>
      </c>
      <c r="F19" s="230">
        <f t="shared" si="0"/>
        <v>14</v>
      </c>
      <c r="G19" s="71"/>
      <c r="H19" s="72"/>
      <c r="I19" s="72"/>
      <c r="J19" s="72"/>
      <c r="K19" s="72"/>
      <c r="L19" s="72"/>
      <c r="M19" s="72"/>
      <c r="N19" s="68"/>
      <c r="O19" s="72"/>
      <c r="P19" s="73"/>
      <c r="Q19" s="257"/>
      <c r="R19" s="265" t="e">
        <f>IF(ISBLANK(D19)," ",SUM(G19:P19)*R5/Q5)</f>
        <v>#DIV/0!</v>
      </c>
      <c r="S19" s="357">
        <v>0</v>
      </c>
      <c r="T19" s="266" t="e">
        <f t="shared" si="1"/>
        <v>#DIV/0!</v>
      </c>
      <c r="U19" s="71"/>
      <c r="V19" s="72"/>
      <c r="W19" s="72"/>
      <c r="X19" s="72"/>
      <c r="Y19" s="72"/>
      <c r="Z19" s="72"/>
      <c r="AA19" s="72"/>
      <c r="AB19" s="72"/>
      <c r="AC19" s="72"/>
      <c r="AD19" s="73"/>
      <c r="AE19" s="257"/>
      <c r="AF19" s="270">
        <f>IF(ISBLANK(D19)," ",SUM(U19:AD19)*AF5/AE5)</f>
        <v>0</v>
      </c>
      <c r="AG19" s="357">
        <v>40</v>
      </c>
      <c r="AH19" s="266">
        <f t="shared" si="12"/>
        <v>40</v>
      </c>
      <c r="AI19" s="276" t="e">
        <f t="shared" si="10"/>
        <v>#DIV/0!</v>
      </c>
      <c r="AJ19" s="277">
        <f t="shared" si="13"/>
        <v>40</v>
      </c>
      <c r="AK19" s="278" t="e">
        <f t="shared" si="11"/>
        <v>#DIV/0!</v>
      </c>
      <c r="AL19" s="279" t="e">
        <f t="shared" si="2"/>
        <v>#DIV/0!</v>
      </c>
      <c r="AM19" s="74"/>
      <c r="AN19" s="233">
        <f t="shared" si="3"/>
        <v>14</v>
      </c>
      <c r="AO19" s="92"/>
      <c r="AP19" s="91"/>
      <c r="AQ19" s="91"/>
      <c r="AR19" s="91"/>
      <c r="AS19" s="91"/>
      <c r="AT19" s="287" t="e">
        <f t="shared" si="4"/>
        <v>#N/A</v>
      </c>
      <c r="AU19" s="288" t="e">
        <f t="shared" si="5"/>
        <v>#N/A</v>
      </c>
      <c r="AV19" s="92"/>
      <c r="AW19" s="91"/>
      <c r="AX19" s="91"/>
      <c r="AY19" s="91"/>
      <c r="AZ19" s="91"/>
      <c r="BA19" s="292" t="e">
        <f t="shared" si="6"/>
        <v>#N/A</v>
      </c>
      <c r="BB19" s="92"/>
      <c r="BC19" s="91"/>
      <c r="BD19" s="91"/>
      <c r="BE19" s="91"/>
      <c r="BF19" s="91"/>
      <c r="BG19" s="297" t="e">
        <f t="shared" si="7"/>
        <v>#N/A</v>
      </c>
      <c r="BH19" s="298" t="e">
        <f t="shared" si="8"/>
        <v>#N/A</v>
      </c>
      <c r="BI19" s="292" t="e">
        <f t="shared" si="9"/>
        <v>#N/A</v>
      </c>
      <c r="BJ19" s="258">
        <v>14</v>
      </c>
      <c r="BK19" s="94"/>
      <c r="BL19" s="94"/>
      <c r="BM19" s="93"/>
      <c r="BN19" s="235"/>
      <c r="BO19" s="160"/>
      <c r="BP19" s="248"/>
      <c r="BQ19" s="238"/>
      <c r="BU19" s="80"/>
    </row>
    <row r="20" spans="1:77" ht="16.5" customHeight="1" x14ac:dyDescent="0.3">
      <c r="A20" s="256">
        <v>15</v>
      </c>
      <c r="B20" s="403" t="s">
        <v>435</v>
      </c>
      <c r="C20" s="401" t="s">
        <v>403</v>
      </c>
      <c r="D20" s="402" t="s">
        <v>371</v>
      </c>
      <c r="E20" s="134" t="s">
        <v>130</v>
      </c>
      <c r="F20" s="230">
        <f t="shared" si="0"/>
        <v>15</v>
      </c>
      <c r="G20" s="71"/>
      <c r="H20" s="72"/>
      <c r="I20" s="72"/>
      <c r="J20" s="72"/>
      <c r="K20" s="72"/>
      <c r="L20" s="72"/>
      <c r="M20" s="72"/>
      <c r="N20" s="68"/>
      <c r="O20" s="72"/>
      <c r="P20" s="73"/>
      <c r="Q20" s="257"/>
      <c r="R20" s="265" t="e">
        <f>IF(ISBLANK(D20)," ",SUM(G20:P20)*R5/Q5)</f>
        <v>#DIV/0!</v>
      </c>
      <c r="S20" s="357">
        <v>0</v>
      </c>
      <c r="T20" s="266" t="e">
        <f t="shared" si="1"/>
        <v>#DIV/0!</v>
      </c>
      <c r="U20" s="71"/>
      <c r="V20" s="72"/>
      <c r="W20" s="72"/>
      <c r="X20" s="72"/>
      <c r="Y20" s="72"/>
      <c r="Z20" s="72"/>
      <c r="AA20" s="72"/>
      <c r="AB20" s="72"/>
      <c r="AC20" s="72"/>
      <c r="AD20" s="73"/>
      <c r="AE20" s="257"/>
      <c r="AF20" s="270">
        <f>IF(ISBLANK(D20)," ",SUM(U20:AD20)*AF5/AE5)</f>
        <v>0</v>
      </c>
      <c r="AG20" s="357">
        <v>40</v>
      </c>
      <c r="AH20" s="266">
        <f t="shared" si="12"/>
        <v>40</v>
      </c>
      <c r="AI20" s="276" t="e">
        <f t="shared" si="10"/>
        <v>#DIV/0!</v>
      </c>
      <c r="AJ20" s="277">
        <f t="shared" si="13"/>
        <v>40</v>
      </c>
      <c r="AK20" s="278" t="e">
        <f t="shared" si="11"/>
        <v>#DIV/0!</v>
      </c>
      <c r="AL20" s="279" t="e">
        <f t="shared" si="2"/>
        <v>#DIV/0!</v>
      </c>
      <c r="AM20" s="74"/>
      <c r="AN20" s="233">
        <f t="shared" si="3"/>
        <v>15</v>
      </c>
      <c r="AO20" s="92"/>
      <c r="AP20" s="91"/>
      <c r="AQ20" s="91"/>
      <c r="AR20" s="91"/>
      <c r="AS20" s="91"/>
      <c r="AT20" s="287" t="e">
        <f t="shared" si="4"/>
        <v>#N/A</v>
      </c>
      <c r="AU20" s="288" t="e">
        <f t="shared" si="5"/>
        <v>#N/A</v>
      </c>
      <c r="AV20" s="92"/>
      <c r="AW20" s="91"/>
      <c r="AX20" s="91"/>
      <c r="AY20" s="91"/>
      <c r="AZ20" s="91"/>
      <c r="BA20" s="292" t="e">
        <f t="shared" si="6"/>
        <v>#N/A</v>
      </c>
      <c r="BB20" s="92"/>
      <c r="BC20" s="91"/>
      <c r="BD20" s="91"/>
      <c r="BE20" s="91"/>
      <c r="BF20" s="91"/>
      <c r="BG20" s="297" t="e">
        <f t="shared" si="7"/>
        <v>#N/A</v>
      </c>
      <c r="BH20" s="298" t="e">
        <f t="shared" si="8"/>
        <v>#N/A</v>
      </c>
      <c r="BI20" s="292" t="e">
        <f t="shared" si="9"/>
        <v>#N/A</v>
      </c>
      <c r="BJ20" s="258">
        <v>15</v>
      </c>
      <c r="BK20" s="94"/>
      <c r="BL20" s="94"/>
      <c r="BM20" s="93"/>
      <c r="BN20" s="230">
        <v>11</v>
      </c>
      <c r="BO20" s="164"/>
      <c r="BP20" s="166"/>
      <c r="BQ20" s="245">
        <f>U5</f>
        <v>10</v>
      </c>
      <c r="BU20" s="82"/>
      <c r="BV20" s="100"/>
      <c r="BW20" s="100"/>
      <c r="BX20" s="100"/>
    </row>
    <row r="21" spans="1:77" ht="16.5" customHeight="1" x14ac:dyDescent="0.3">
      <c r="A21" s="256">
        <v>16</v>
      </c>
      <c r="B21" s="403" t="s">
        <v>436</v>
      </c>
      <c r="C21" s="401" t="s">
        <v>404</v>
      </c>
      <c r="D21" s="402" t="s">
        <v>372</v>
      </c>
      <c r="E21" s="134" t="s">
        <v>130</v>
      </c>
      <c r="F21" s="230">
        <f t="shared" si="0"/>
        <v>16</v>
      </c>
      <c r="G21" s="71"/>
      <c r="H21" s="72"/>
      <c r="I21" s="72"/>
      <c r="J21" s="72"/>
      <c r="K21" s="72"/>
      <c r="L21" s="72"/>
      <c r="M21" s="72"/>
      <c r="N21" s="68"/>
      <c r="O21" s="72"/>
      <c r="P21" s="73"/>
      <c r="Q21" s="257"/>
      <c r="R21" s="265" t="e">
        <f>IF(ISBLANK(D21)," ",SUM(G21:P21)*R5/Q5)</f>
        <v>#DIV/0!</v>
      </c>
      <c r="S21" s="357">
        <v>0</v>
      </c>
      <c r="T21" s="266" t="e">
        <f t="shared" si="1"/>
        <v>#DIV/0!</v>
      </c>
      <c r="U21" s="71"/>
      <c r="V21" s="72"/>
      <c r="W21" s="72"/>
      <c r="X21" s="72"/>
      <c r="Y21" s="72"/>
      <c r="Z21" s="72"/>
      <c r="AA21" s="72"/>
      <c r="AB21" s="72"/>
      <c r="AC21" s="72"/>
      <c r="AD21" s="73"/>
      <c r="AE21" s="257"/>
      <c r="AF21" s="270">
        <f>IF(ISBLANK(D21)," ",SUM(U21:AD21)*AF5/AE5)</f>
        <v>0</v>
      </c>
      <c r="AG21" s="357">
        <v>40</v>
      </c>
      <c r="AH21" s="266">
        <f t="shared" si="12"/>
        <v>40</v>
      </c>
      <c r="AI21" s="276" t="e">
        <f t="shared" si="10"/>
        <v>#DIV/0!</v>
      </c>
      <c r="AJ21" s="277">
        <f t="shared" si="13"/>
        <v>40</v>
      </c>
      <c r="AK21" s="278" t="e">
        <f t="shared" si="11"/>
        <v>#DIV/0!</v>
      </c>
      <c r="AL21" s="279" t="e">
        <f t="shared" si="2"/>
        <v>#DIV/0!</v>
      </c>
      <c r="AM21" s="74"/>
      <c r="AN21" s="233">
        <f t="shared" si="3"/>
        <v>16</v>
      </c>
      <c r="AO21" s="154"/>
      <c r="AP21" s="91"/>
      <c r="AQ21" s="91"/>
      <c r="AR21" s="91"/>
      <c r="AS21" s="91"/>
      <c r="AT21" s="287" t="e">
        <f t="shared" si="4"/>
        <v>#N/A</v>
      </c>
      <c r="AU21" s="288" t="e">
        <f t="shared" si="5"/>
        <v>#N/A</v>
      </c>
      <c r="AV21" s="92"/>
      <c r="AW21" s="91"/>
      <c r="AX21" s="91"/>
      <c r="AY21" s="91"/>
      <c r="AZ21" s="91"/>
      <c r="BA21" s="292" t="e">
        <f t="shared" si="6"/>
        <v>#N/A</v>
      </c>
      <c r="BB21" s="92"/>
      <c r="BC21" s="91"/>
      <c r="BD21" s="91"/>
      <c r="BE21" s="91"/>
      <c r="BF21" s="91"/>
      <c r="BG21" s="297" t="e">
        <f t="shared" si="7"/>
        <v>#N/A</v>
      </c>
      <c r="BH21" s="298" t="e">
        <f t="shared" si="8"/>
        <v>#N/A</v>
      </c>
      <c r="BI21" s="292" t="e">
        <f t="shared" si="9"/>
        <v>#N/A</v>
      </c>
      <c r="BJ21" s="258">
        <v>16</v>
      </c>
      <c r="BK21" s="94"/>
      <c r="BL21" s="406"/>
      <c r="BM21" s="93"/>
      <c r="BN21" s="230">
        <v>12</v>
      </c>
      <c r="BO21" s="164"/>
      <c r="BP21" s="166"/>
      <c r="BQ21" s="239">
        <f>V5</f>
        <v>10</v>
      </c>
      <c r="BU21" s="82"/>
      <c r="BV21" s="100"/>
      <c r="BW21" s="100"/>
      <c r="BX21" s="80"/>
    </row>
    <row r="22" spans="1:77" ht="16.5" customHeight="1" x14ac:dyDescent="0.3">
      <c r="A22" s="256">
        <v>17</v>
      </c>
      <c r="B22" s="403" t="s">
        <v>437</v>
      </c>
      <c r="C22" s="401" t="s">
        <v>405</v>
      </c>
      <c r="D22" s="402" t="s">
        <v>373</v>
      </c>
      <c r="E22" s="134" t="s">
        <v>130</v>
      </c>
      <c r="F22" s="230">
        <f t="shared" si="0"/>
        <v>17</v>
      </c>
      <c r="G22" s="71"/>
      <c r="H22" s="72"/>
      <c r="I22" s="72"/>
      <c r="J22" s="72"/>
      <c r="K22" s="72"/>
      <c r="L22" s="72"/>
      <c r="M22" s="72"/>
      <c r="N22" s="68"/>
      <c r="O22" s="72"/>
      <c r="P22" s="73"/>
      <c r="Q22" s="257"/>
      <c r="R22" s="265" t="e">
        <f>IF(ISBLANK(D22)," ",SUM(G22:P22)*R5/Q5)</f>
        <v>#DIV/0!</v>
      </c>
      <c r="S22" s="357">
        <v>0</v>
      </c>
      <c r="T22" s="266" t="e">
        <f t="shared" si="1"/>
        <v>#DIV/0!</v>
      </c>
      <c r="U22" s="71"/>
      <c r="V22" s="72"/>
      <c r="W22" s="72"/>
      <c r="X22" s="72"/>
      <c r="Y22" s="72"/>
      <c r="Z22" s="72"/>
      <c r="AA22" s="72"/>
      <c r="AB22" s="72"/>
      <c r="AC22" s="72"/>
      <c r="AD22" s="73"/>
      <c r="AE22" s="257"/>
      <c r="AF22" s="270">
        <f>IF(ISBLANK(D22)," ",SUM(U22:AD22)*AF5/AE5)</f>
        <v>0</v>
      </c>
      <c r="AG22" s="357">
        <v>40</v>
      </c>
      <c r="AH22" s="266">
        <f t="shared" si="12"/>
        <v>40</v>
      </c>
      <c r="AI22" s="276" t="e">
        <f t="shared" si="10"/>
        <v>#DIV/0!</v>
      </c>
      <c r="AJ22" s="277">
        <f t="shared" si="13"/>
        <v>40</v>
      </c>
      <c r="AK22" s="278" t="e">
        <f t="shared" si="11"/>
        <v>#DIV/0!</v>
      </c>
      <c r="AL22" s="279" t="e">
        <f t="shared" si="2"/>
        <v>#DIV/0!</v>
      </c>
      <c r="AM22" s="74"/>
      <c r="AN22" s="233">
        <f t="shared" si="3"/>
        <v>17</v>
      </c>
      <c r="AO22" s="154"/>
      <c r="AP22" s="91"/>
      <c r="AQ22" s="91"/>
      <c r="AR22" s="91"/>
      <c r="AS22" s="91"/>
      <c r="AT22" s="287" t="e">
        <f t="shared" si="4"/>
        <v>#N/A</v>
      </c>
      <c r="AU22" s="288" t="e">
        <f t="shared" si="5"/>
        <v>#N/A</v>
      </c>
      <c r="AV22" s="92"/>
      <c r="AW22" s="91"/>
      <c r="AX22" s="91"/>
      <c r="AY22" s="91"/>
      <c r="AZ22" s="91"/>
      <c r="BA22" s="292" t="e">
        <f t="shared" si="6"/>
        <v>#N/A</v>
      </c>
      <c r="BB22" s="84"/>
      <c r="BC22" s="83"/>
      <c r="BD22" s="91"/>
      <c r="BE22" s="91"/>
      <c r="BF22" s="91"/>
      <c r="BG22" s="297" t="e">
        <f t="shared" si="7"/>
        <v>#N/A</v>
      </c>
      <c r="BH22" s="298" t="e">
        <f t="shared" si="8"/>
        <v>#N/A</v>
      </c>
      <c r="BI22" s="292" t="e">
        <f t="shared" si="9"/>
        <v>#N/A</v>
      </c>
      <c r="BJ22" s="258">
        <v>17</v>
      </c>
      <c r="BK22" s="94"/>
      <c r="BL22" s="96"/>
      <c r="BM22" s="93"/>
      <c r="BN22" s="230">
        <v>13</v>
      </c>
      <c r="BO22" s="164"/>
      <c r="BP22" s="166"/>
      <c r="BQ22" s="239">
        <f>W5</f>
        <v>10</v>
      </c>
      <c r="BU22" s="82"/>
      <c r="BV22" s="100"/>
      <c r="BW22" s="100"/>
      <c r="BX22" s="80"/>
    </row>
    <row r="23" spans="1:77" ht="16.5" customHeight="1" x14ac:dyDescent="0.3">
      <c r="A23" s="256">
        <v>18</v>
      </c>
      <c r="B23" s="403" t="s">
        <v>438</v>
      </c>
      <c r="C23" s="401" t="s">
        <v>406</v>
      </c>
      <c r="D23" s="402" t="s">
        <v>374</v>
      </c>
      <c r="E23" s="134" t="s">
        <v>130</v>
      </c>
      <c r="F23" s="230">
        <f t="shared" si="0"/>
        <v>18</v>
      </c>
      <c r="G23" s="71"/>
      <c r="H23" s="72"/>
      <c r="I23" s="72"/>
      <c r="J23" s="72"/>
      <c r="K23" s="72"/>
      <c r="L23" s="72"/>
      <c r="M23" s="72"/>
      <c r="N23" s="68"/>
      <c r="O23" s="72"/>
      <c r="P23" s="73"/>
      <c r="Q23" s="257"/>
      <c r="R23" s="265" t="e">
        <f>IF(ISBLANK(D23)," ",SUM(G23:P23)*R5/Q5)</f>
        <v>#DIV/0!</v>
      </c>
      <c r="S23" s="357">
        <v>0</v>
      </c>
      <c r="T23" s="266" t="e">
        <f t="shared" si="1"/>
        <v>#DIV/0!</v>
      </c>
      <c r="U23" s="71"/>
      <c r="V23" s="72"/>
      <c r="W23" s="72"/>
      <c r="X23" s="72"/>
      <c r="Y23" s="72"/>
      <c r="Z23" s="72"/>
      <c r="AA23" s="72"/>
      <c r="AB23" s="72"/>
      <c r="AC23" s="72"/>
      <c r="AD23" s="73"/>
      <c r="AE23" s="257"/>
      <c r="AF23" s="270">
        <f>IF(ISBLANK(D23)," ",SUM(U23:AD23)*AF5/AE5)</f>
        <v>0</v>
      </c>
      <c r="AG23" s="357">
        <v>40</v>
      </c>
      <c r="AH23" s="266">
        <f t="shared" si="12"/>
        <v>40</v>
      </c>
      <c r="AI23" s="276" t="e">
        <f t="shared" si="10"/>
        <v>#DIV/0!</v>
      </c>
      <c r="AJ23" s="277">
        <f t="shared" si="13"/>
        <v>40</v>
      </c>
      <c r="AK23" s="278" t="e">
        <f t="shared" si="11"/>
        <v>#DIV/0!</v>
      </c>
      <c r="AL23" s="279" t="e">
        <f t="shared" si="2"/>
        <v>#DIV/0!</v>
      </c>
      <c r="AM23" s="74"/>
      <c r="AN23" s="233">
        <f t="shared" si="3"/>
        <v>18</v>
      </c>
      <c r="AO23" s="154"/>
      <c r="AP23" s="91"/>
      <c r="AQ23" s="91"/>
      <c r="AR23" s="91"/>
      <c r="AS23" s="91"/>
      <c r="AT23" s="287" t="e">
        <f t="shared" si="4"/>
        <v>#N/A</v>
      </c>
      <c r="AU23" s="288" t="e">
        <f t="shared" si="5"/>
        <v>#N/A</v>
      </c>
      <c r="AV23" s="92"/>
      <c r="AW23" s="91"/>
      <c r="AX23" s="91"/>
      <c r="AY23" s="91"/>
      <c r="AZ23" s="91"/>
      <c r="BA23" s="292" t="e">
        <f t="shared" si="6"/>
        <v>#N/A</v>
      </c>
      <c r="BB23" s="92"/>
      <c r="BC23" s="91"/>
      <c r="BD23" s="91"/>
      <c r="BE23" s="91"/>
      <c r="BF23" s="91"/>
      <c r="BG23" s="297" t="e">
        <f t="shared" si="7"/>
        <v>#N/A</v>
      </c>
      <c r="BH23" s="298" t="e">
        <f t="shared" si="8"/>
        <v>#N/A</v>
      </c>
      <c r="BI23" s="292" t="e">
        <f t="shared" si="9"/>
        <v>#N/A</v>
      </c>
      <c r="BJ23" s="258">
        <v>18</v>
      </c>
      <c r="BK23" s="94"/>
      <c r="BL23" s="96"/>
      <c r="BM23" s="93"/>
      <c r="BN23" s="230">
        <v>14</v>
      </c>
      <c r="BO23" s="164"/>
      <c r="BP23" s="166"/>
      <c r="BQ23" s="239">
        <f>X5</f>
        <v>10</v>
      </c>
      <c r="BU23" s="82"/>
      <c r="BV23" s="100"/>
      <c r="BW23" s="100"/>
      <c r="BX23" s="80"/>
    </row>
    <row r="24" spans="1:77" ht="16.5" customHeight="1" x14ac:dyDescent="0.3">
      <c r="A24" s="256">
        <v>19</v>
      </c>
      <c r="B24" s="403" t="s">
        <v>439</v>
      </c>
      <c r="C24" s="401" t="s">
        <v>407</v>
      </c>
      <c r="D24" s="402" t="s">
        <v>375</v>
      </c>
      <c r="E24" s="134" t="s">
        <v>130</v>
      </c>
      <c r="F24" s="230">
        <f t="shared" si="0"/>
        <v>19</v>
      </c>
      <c r="G24" s="71"/>
      <c r="H24" s="72"/>
      <c r="I24" s="72"/>
      <c r="J24" s="72"/>
      <c r="K24" s="72"/>
      <c r="L24" s="72"/>
      <c r="M24" s="72"/>
      <c r="N24" s="68"/>
      <c r="O24" s="72"/>
      <c r="P24" s="73"/>
      <c r="Q24" s="257"/>
      <c r="R24" s="265" t="e">
        <f>IF(ISBLANK(D24)," ",SUM(G24:P24)*R5/Q5)</f>
        <v>#DIV/0!</v>
      </c>
      <c r="S24" s="357">
        <v>0</v>
      </c>
      <c r="T24" s="266" t="e">
        <f t="shared" si="1"/>
        <v>#DIV/0!</v>
      </c>
      <c r="U24" s="71"/>
      <c r="V24" s="72"/>
      <c r="W24" s="72"/>
      <c r="X24" s="72"/>
      <c r="Y24" s="72"/>
      <c r="Z24" s="72"/>
      <c r="AA24" s="72"/>
      <c r="AB24" s="72"/>
      <c r="AC24" s="72"/>
      <c r="AD24" s="73"/>
      <c r="AE24" s="257"/>
      <c r="AF24" s="270">
        <f>IF(ISBLANK(D24)," ",SUM(U24:AD24)*AF5/AE5)</f>
        <v>0</v>
      </c>
      <c r="AG24" s="357">
        <v>40</v>
      </c>
      <c r="AH24" s="266">
        <f t="shared" si="12"/>
        <v>40</v>
      </c>
      <c r="AI24" s="276" t="e">
        <f t="shared" si="10"/>
        <v>#DIV/0!</v>
      </c>
      <c r="AJ24" s="277">
        <f t="shared" si="13"/>
        <v>40</v>
      </c>
      <c r="AK24" s="278" t="e">
        <f t="shared" si="11"/>
        <v>#DIV/0!</v>
      </c>
      <c r="AL24" s="279" t="e">
        <f t="shared" si="2"/>
        <v>#DIV/0!</v>
      </c>
      <c r="AM24" s="74"/>
      <c r="AN24" s="233">
        <f t="shared" si="3"/>
        <v>19</v>
      </c>
      <c r="AO24" s="154"/>
      <c r="AP24" s="91"/>
      <c r="AQ24" s="91"/>
      <c r="AR24" s="91"/>
      <c r="AS24" s="91"/>
      <c r="AT24" s="287" t="e">
        <f t="shared" si="4"/>
        <v>#N/A</v>
      </c>
      <c r="AU24" s="288" t="e">
        <f t="shared" si="5"/>
        <v>#N/A</v>
      </c>
      <c r="AV24" s="92"/>
      <c r="AW24" s="91"/>
      <c r="AX24" s="91"/>
      <c r="AY24" s="91"/>
      <c r="AZ24" s="91"/>
      <c r="BA24" s="292" t="e">
        <f t="shared" si="6"/>
        <v>#N/A</v>
      </c>
      <c r="BB24" s="92"/>
      <c r="BC24" s="91"/>
      <c r="BD24" s="91"/>
      <c r="BE24" s="91"/>
      <c r="BF24" s="91"/>
      <c r="BG24" s="297" t="e">
        <f t="shared" si="7"/>
        <v>#N/A</v>
      </c>
      <c r="BH24" s="298" t="e">
        <f t="shared" si="8"/>
        <v>#N/A</v>
      </c>
      <c r="BI24" s="292" t="e">
        <f t="shared" si="9"/>
        <v>#N/A</v>
      </c>
      <c r="BJ24" s="258">
        <v>19</v>
      </c>
      <c r="BK24" s="94"/>
      <c r="BL24" s="96"/>
      <c r="BM24" s="93"/>
      <c r="BN24" s="230">
        <v>15</v>
      </c>
      <c r="BO24" s="164"/>
      <c r="BP24" s="166"/>
      <c r="BQ24" s="239">
        <f>Y5</f>
        <v>10</v>
      </c>
      <c r="BU24" s="82"/>
      <c r="BV24" s="100"/>
      <c r="BW24" s="100"/>
      <c r="BX24" s="80"/>
    </row>
    <row r="25" spans="1:77" ht="16.5" customHeight="1" x14ac:dyDescent="0.3">
      <c r="A25" s="256">
        <v>20</v>
      </c>
      <c r="B25" s="403" t="s">
        <v>440</v>
      </c>
      <c r="C25" s="401" t="s">
        <v>408</v>
      </c>
      <c r="D25" s="402" t="s">
        <v>376</v>
      </c>
      <c r="E25" s="134" t="s">
        <v>130</v>
      </c>
      <c r="F25" s="230">
        <f t="shared" si="0"/>
        <v>20</v>
      </c>
      <c r="G25" s="71"/>
      <c r="H25" s="72"/>
      <c r="I25" s="72"/>
      <c r="J25" s="72"/>
      <c r="K25" s="72"/>
      <c r="L25" s="72"/>
      <c r="M25" s="72"/>
      <c r="N25" s="68"/>
      <c r="O25" s="72"/>
      <c r="P25" s="73"/>
      <c r="Q25" s="257"/>
      <c r="R25" s="265" t="e">
        <f>IF(ISBLANK(D25)," ",SUM(G25:P25)*R5/Q5)</f>
        <v>#DIV/0!</v>
      </c>
      <c r="S25" s="357">
        <v>0</v>
      </c>
      <c r="T25" s="266" t="e">
        <f t="shared" si="1"/>
        <v>#DIV/0!</v>
      </c>
      <c r="U25" s="71"/>
      <c r="V25" s="72"/>
      <c r="W25" s="72"/>
      <c r="X25" s="72"/>
      <c r="Y25" s="72"/>
      <c r="Z25" s="72"/>
      <c r="AA25" s="72"/>
      <c r="AB25" s="72"/>
      <c r="AC25" s="72"/>
      <c r="AD25" s="73"/>
      <c r="AE25" s="257"/>
      <c r="AF25" s="270">
        <f>IF(ISBLANK(D25)," ",SUM(U25:AD25)*AF5/AE5)</f>
        <v>0</v>
      </c>
      <c r="AG25" s="357">
        <v>40</v>
      </c>
      <c r="AH25" s="266">
        <f t="shared" si="12"/>
        <v>40</v>
      </c>
      <c r="AI25" s="276" t="e">
        <f t="shared" si="10"/>
        <v>#DIV/0!</v>
      </c>
      <c r="AJ25" s="277">
        <f t="shared" si="13"/>
        <v>40</v>
      </c>
      <c r="AK25" s="278" t="e">
        <f t="shared" si="11"/>
        <v>#DIV/0!</v>
      </c>
      <c r="AL25" s="279" t="e">
        <f t="shared" si="2"/>
        <v>#DIV/0!</v>
      </c>
      <c r="AM25" s="74"/>
      <c r="AN25" s="233">
        <f t="shared" si="3"/>
        <v>20</v>
      </c>
      <c r="AO25" s="154"/>
      <c r="AP25" s="91"/>
      <c r="AQ25" s="91"/>
      <c r="AR25" s="91"/>
      <c r="AS25" s="91"/>
      <c r="AT25" s="287" t="e">
        <f t="shared" si="4"/>
        <v>#N/A</v>
      </c>
      <c r="AU25" s="288" t="e">
        <f t="shared" si="5"/>
        <v>#N/A</v>
      </c>
      <c r="AV25" s="92"/>
      <c r="AW25" s="91"/>
      <c r="AX25" s="91"/>
      <c r="AY25" s="91"/>
      <c r="AZ25" s="91"/>
      <c r="BA25" s="292" t="e">
        <f t="shared" si="6"/>
        <v>#N/A</v>
      </c>
      <c r="BB25" s="92"/>
      <c r="BC25" s="91"/>
      <c r="BD25" s="91"/>
      <c r="BE25" s="91"/>
      <c r="BF25" s="91"/>
      <c r="BG25" s="297" t="e">
        <f t="shared" si="7"/>
        <v>#N/A</v>
      </c>
      <c r="BH25" s="298" t="e">
        <f t="shared" si="8"/>
        <v>#N/A</v>
      </c>
      <c r="BI25" s="292" t="e">
        <f t="shared" si="9"/>
        <v>#N/A</v>
      </c>
      <c r="BJ25" s="258">
        <v>20</v>
      </c>
      <c r="BK25" s="94"/>
      <c r="BL25" s="96"/>
      <c r="BM25" s="93"/>
      <c r="BN25" s="230">
        <v>16</v>
      </c>
      <c r="BO25" s="164"/>
      <c r="BP25" s="166"/>
      <c r="BQ25" s="239">
        <f>Z5</f>
        <v>10</v>
      </c>
      <c r="BU25" s="101"/>
      <c r="BV25" s="100"/>
      <c r="BW25" s="100"/>
      <c r="BX25" s="80"/>
    </row>
    <row r="26" spans="1:77" ht="16.5" customHeight="1" x14ac:dyDescent="0.3">
      <c r="A26" s="256">
        <v>21</v>
      </c>
      <c r="B26" s="403" t="s">
        <v>441</v>
      </c>
      <c r="C26" s="401" t="s">
        <v>409</v>
      </c>
      <c r="D26" s="402" t="s">
        <v>377</v>
      </c>
      <c r="E26" s="134" t="s">
        <v>130</v>
      </c>
      <c r="F26" s="230">
        <f t="shared" si="0"/>
        <v>21</v>
      </c>
      <c r="G26" s="71"/>
      <c r="H26" s="72"/>
      <c r="I26" s="72"/>
      <c r="J26" s="72"/>
      <c r="K26" s="72"/>
      <c r="L26" s="72"/>
      <c r="M26" s="72"/>
      <c r="N26" s="68"/>
      <c r="O26" s="72"/>
      <c r="P26" s="73"/>
      <c r="Q26" s="257"/>
      <c r="R26" s="265" t="e">
        <f>IF(ISBLANK(D26)," ",SUM(G26:P26)*R5/Q5)</f>
        <v>#DIV/0!</v>
      </c>
      <c r="S26" s="357">
        <v>0</v>
      </c>
      <c r="T26" s="266" t="e">
        <f t="shared" si="1"/>
        <v>#DIV/0!</v>
      </c>
      <c r="U26" s="71"/>
      <c r="V26" s="72"/>
      <c r="W26" s="72"/>
      <c r="X26" s="72"/>
      <c r="Y26" s="72"/>
      <c r="Z26" s="72"/>
      <c r="AA26" s="72"/>
      <c r="AB26" s="72"/>
      <c r="AC26" s="72"/>
      <c r="AD26" s="73"/>
      <c r="AE26" s="257"/>
      <c r="AF26" s="270">
        <f>IF(ISBLANK(D26)," ",SUM(U26:AD26)*AF5/AE5)</f>
        <v>0</v>
      </c>
      <c r="AG26" s="357">
        <v>40</v>
      </c>
      <c r="AH26" s="266">
        <f t="shared" si="12"/>
        <v>40</v>
      </c>
      <c r="AI26" s="276" t="e">
        <f t="shared" si="10"/>
        <v>#DIV/0!</v>
      </c>
      <c r="AJ26" s="277">
        <f t="shared" si="13"/>
        <v>40</v>
      </c>
      <c r="AK26" s="278" t="e">
        <f t="shared" si="11"/>
        <v>#DIV/0!</v>
      </c>
      <c r="AL26" s="279" t="e">
        <f t="shared" si="2"/>
        <v>#DIV/0!</v>
      </c>
      <c r="AM26" s="74"/>
      <c r="AN26" s="233">
        <f t="shared" si="3"/>
        <v>21</v>
      </c>
      <c r="AO26" s="154"/>
      <c r="AP26" s="91"/>
      <c r="AQ26" s="91"/>
      <c r="AR26" s="91"/>
      <c r="AS26" s="91"/>
      <c r="AT26" s="287" t="e">
        <f t="shared" si="4"/>
        <v>#N/A</v>
      </c>
      <c r="AU26" s="288" t="e">
        <f t="shared" si="5"/>
        <v>#N/A</v>
      </c>
      <c r="AV26" s="92"/>
      <c r="AW26" s="91"/>
      <c r="AX26" s="91"/>
      <c r="AY26" s="91"/>
      <c r="AZ26" s="91"/>
      <c r="BA26" s="292" t="e">
        <f t="shared" si="6"/>
        <v>#N/A</v>
      </c>
      <c r="BB26" s="92"/>
      <c r="BC26" s="91"/>
      <c r="BD26" s="91"/>
      <c r="BE26" s="91"/>
      <c r="BF26" s="91"/>
      <c r="BG26" s="297" t="e">
        <f t="shared" si="7"/>
        <v>#N/A</v>
      </c>
      <c r="BH26" s="298" t="e">
        <f t="shared" si="8"/>
        <v>#N/A</v>
      </c>
      <c r="BI26" s="292" t="e">
        <f t="shared" si="9"/>
        <v>#N/A</v>
      </c>
      <c r="BJ26" s="258">
        <v>21</v>
      </c>
      <c r="BK26" s="94"/>
      <c r="BL26" s="96"/>
      <c r="BM26" s="93"/>
      <c r="BN26" s="230">
        <v>17</v>
      </c>
      <c r="BO26" s="164"/>
      <c r="BP26" s="166"/>
      <c r="BQ26" s="239">
        <f>AA5</f>
        <v>10</v>
      </c>
      <c r="BU26" s="80"/>
    </row>
    <row r="27" spans="1:77" ht="16.5" customHeight="1" x14ac:dyDescent="0.3">
      <c r="A27" s="256">
        <v>22</v>
      </c>
      <c r="B27" s="403" t="s">
        <v>442</v>
      </c>
      <c r="C27" s="401" t="s">
        <v>410</v>
      </c>
      <c r="D27" s="402" t="s">
        <v>378</v>
      </c>
      <c r="E27" s="134" t="s">
        <v>130</v>
      </c>
      <c r="F27" s="230">
        <f t="shared" si="0"/>
        <v>22</v>
      </c>
      <c r="G27" s="71"/>
      <c r="H27" s="72"/>
      <c r="I27" s="72"/>
      <c r="J27" s="72"/>
      <c r="K27" s="72"/>
      <c r="L27" s="72"/>
      <c r="M27" s="72"/>
      <c r="N27" s="68"/>
      <c r="O27" s="72"/>
      <c r="P27" s="73"/>
      <c r="Q27" s="257"/>
      <c r="R27" s="265" t="e">
        <f>IF(ISBLANK(D27)," ",SUM(G27:P27)*R5/Q5)</f>
        <v>#DIV/0!</v>
      </c>
      <c r="S27" s="357">
        <v>0</v>
      </c>
      <c r="T27" s="266" t="e">
        <f t="shared" si="1"/>
        <v>#DIV/0!</v>
      </c>
      <c r="U27" s="71"/>
      <c r="V27" s="72"/>
      <c r="W27" s="72"/>
      <c r="X27" s="72"/>
      <c r="Y27" s="72"/>
      <c r="Z27" s="72"/>
      <c r="AA27" s="72"/>
      <c r="AB27" s="72"/>
      <c r="AC27" s="72"/>
      <c r="AD27" s="73"/>
      <c r="AE27" s="257"/>
      <c r="AF27" s="270">
        <f>IF(ISBLANK(D27)," ",SUM(U27:AD27)*AF5/AE5)</f>
        <v>0</v>
      </c>
      <c r="AG27" s="357">
        <v>0</v>
      </c>
      <c r="AH27" s="266">
        <f t="shared" si="12"/>
        <v>0</v>
      </c>
      <c r="AI27" s="276" t="e">
        <f t="shared" si="10"/>
        <v>#DIV/0!</v>
      </c>
      <c r="AJ27" s="277">
        <f t="shared" si="13"/>
        <v>0</v>
      </c>
      <c r="AK27" s="278" t="e">
        <f t="shared" si="11"/>
        <v>#DIV/0!</v>
      </c>
      <c r="AL27" s="279" t="e">
        <f t="shared" si="2"/>
        <v>#DIV/0!</v>
      </c>
      <c r="AM27" s="74"/>
      <c r="AN27" s="233">
        <f t="shared" si="3"/>
        <v>22</v>
      </c>
      <c r="AO27" s="154"/>
      <c r="AP27" s="91"/>
      <c r="AQ27" s="91"/>
      <c r="AR27" s="91"/>
      <c r="AS27" s="91"/>
      <c r="AT27" s="287" t="e">
        <f t="shared" si="4"/>
        <v>#N/A</v>
      </c>
      <c r="AU27" s="288" t="e">
        <f t="shared" si="5"/>
        <v>#N/A</v>
      </c>
      <c r="AV27" s="92"/>
      <c r="AW27" s="91"/>
      <c r="AX27" s="91"/>
      <c r="AY27" s="91"/>
      <c r="AZ27" s="91"/>
      <c r="BA27" s="292" t="e">
        <f t="shared" si="6"/>
        <v>#N/A</v>
      </c>
      <c r="BB27" s="92"/>
      <c r="BC27" s="91"/>
      <c r="BD27" s="91"/>
      <c r="BE27" s="91"/>
      <c r="BF27" s="91"/>
      <c r="BG27" s="297" t="e">
        <f t="shared" si="7"/>
        <v>#N/A</v>
      </c>
      <c r="BH27" s="298" t="e">
        <f t="shared" si="8"/>
        <v>#N/A</v>
      </c>
      <c r="BI27" s="292" t="e">
        <f t="shared" si="9"/>
        <v>#N/A</v>
      </c>
      <c r="BJ27" s="258">
        <v>22</v>
      </c>
      <c r="BK27" s="94"/>
      <c r="BL27" s="96"/>
      <c r="BM27" s="93"/>
      <c r="BN27" s="230">
        <v>18</v>
      </c>
      <c r="BO27" s="164"/>
      <c r="BP27" s="166"/>
      <c r="BQ27" s="244">
        <f>AB5</f>
        <v>0</v>
      </c>
      <c r="BU27" s="80"/>
    </row>
    <row r="28" spans="1:77" ht="16.5" customHeight="1" x14ac:dyDescent="0.3">
      <c r="A28" s="256">
        <v>23</v>
      </c>
      <c r="B28" s="403" t="s">
        <v>443</v>
      </c>
      <c r="C28" s="401" t="s">
        <v>411</v>
      </c>
      <c r="D28" s="402" t="s">
        <v>379</v>
      </c>
      <c r="E28" s="134" t="s">
        <v>130</v>
      </c>
      <c r="F28" s="230">
        <f t="shared" si="0"/>
        <v>23</v>
      </c>
      <c r="G28" s="71"/>
      <c r="H28" s="72"/>
      <c r="I28" s="72"/>
      <c r="J28" s="72"/>
      <c r="K28" s="72"/>
      <c r="L28" s="72"/>
      <c r="M28" s="72"/>
      <c r="N28" s="68"/>
      <c r="O28" s="72"/>
      <c r="P28" s="73"/>
      <c r="Q28" s="257"/>
      <c r="R28" s="265" t="e">
        <f>IF(ISBLANK(D28)," ",SUM(G28:P28)*R5/Q5)</f>
        <v>#DIV/0!</v>
      </c>
      <c r="S28" s="357">
        <v>0</v>
      </c>
      <c r="T28" s="266" t="e">
        <f t="shared" si="1"/>
        <v>#DIV/0!</v>
      </c>
      <c r="U28" s="71"/>
      <c r="V28" s="72"/>
      <c r="W28" s="72"/>
      <c r="X28" s="72"/>
      <c r="Y28" s="72"/>
      <c r="Z28" s="72"/>
      <c r="AA28" s="72"/>
      <c r="AB28" s="72"/>
      <c r="AC28" s="72"/>
      <c r="AD28" s="73"/>
      <c r="AE28" s="257"/>
      <c r="AF28" s="270">
        <f>IF(ISBLANK(D28)," ",SUM(U28:AD28)*AF5/AE5)</f>
        <v>0</v>
      </c>
      <c r="AG28" s="357">
        <v>0</v>
      </c>
      <c r="AH28" s="266">
        <f t="shared" si="12"/>
        <v>0</v>
      </c>
      <c r="AI28" s="276" t="e">
        <f t="shared" si="10"/>
        <v>#DIV/0!</v>
      </c>
      <c r="AJ28" s="277">
        <f t="shared" si="13"/>
        <v>0</v>
      </c>
      <c r="AK28" s="278" t="e">
        <f t="shared" si="11"/>
        <v>#DIV/0!</v>
      </c>
      <c r="AL28" s="279" t="e">
        <f t="shared" si="2"/>
        <v>#DIV/0!</v>
      </c>
      <c r="AM28" s="74"/>
      <c r="AN28" s="233">
        <f t="shared" si="3"/>
        <v>23</v>
      </c>
      <c r="AO28" s="154"/>
      <c r="AP28" s="91"/>
      <c r="AQ28" s="91"/>
      <c r="AR28" s="91"/>
      <c r="AS28" s="91"/>
      <c r="AT28" s="287" t="e">
        <f t="shared" si="4"/>
        <v>#N/A</v>
      </c>
      <c r="AU28" s="288" t="e">
        <f t="shared" si="5"/>
        <v>#N/A</v>
      </c>
      <c r="AV28" s="92"/>
      <c r="AW28" s="91"/>
      <c r="AX28" s="91"/>
      <c r="AY28" s="91"/>
      <c r="AZ28" s="91"/>
      <c r="BA28" s="292" t="e">
        <f t="shared" si="6"/>
        <v>#N/A</v>
      </c>
      <c r="BB28" s="92"/>
      <c r="BC28" s="91"/>
      <c r="BD28" s="91"/>
      <c r="BE28" s="91"/>
      <c r="BF28" s="91"/>
      <c r="BG28" s="297" t="e">
        <f t="shared" si="7"/>
        <v>#N/A</v>
      </c>
      <c r="BH28" s="298" t="e">
        <f t="shared" si="8"/>
        <v>#N/A</v>
      </c>
      <c r="BI28" s="292" t="e">
        <f t="shared" si="9"/>
        <v>#N/A</v>
      </c>
      <c r="BJ28" s="258">
        <v>23</v>
      </c>
      <c r="BK28" s="94"/>
      <c r="BL28" s="102"/>
      <c r="BM28" s="93"/>
      <c r="BN28" s="236">
        <v>19</v>
      </c>
      <c r="BO28" s="173"/>
      <c r="BP28" s="174"/>
      <c r="BQ28" s="244">
        <f>AC5</f>
        <v>0</v>
      </c>
      <c r="BU28" s="80"/>
    </row>
    <row r="29" spans="1:77" ht="16.5" customHeight="1" thickBot="1" x14ac:dyDescent="0.35">
      <c r="A29" s="256">
        <v>24</v>
      </c>
      <c r="B29" s="403" t="s">
        <v>444</v>
      </c>
      <c r="C29" s="401" t="s">
        <v>412</v>
      </c>
      <c r="D29" s="402" t="s">
        <v>380</v>
      </c>
      <c r="E29" s="134" t="s">
        <v>130</v>
      </c>
      <c r="F29" s="230">
        <f t="shared" si="0"/>
        <v>24</v>
      </c>
      <c r="G29" s="71"/>
      <c r="H29" s="72"/>
      <c r="I29" s="72"/>
      <c r="J29" s="72"/>
      <c r="K29" s="72"/>
      <c r="L29" s="72"/>
      <c r="M29" s="72"/>
      <c r="N29" s="68"/>
      <c r="O29" s="72"/>
      <c r="P29" s="73"/>
      <c r="Q29" s="257"/>
      <c r="R29" s="265" t="e">
        <f>IF(ISBLANK(D29)," ",SUM(G29:P29)*R5/Q5)</f>
        <v>#DIV/0!</v>
      </c>
      <c r="S29" s="357">
        <v>0</v>
      </c>
      <c r="T29" s="266" t="e">
        <f t="shared" si="1"/>
        <v>#DIV/0!</v>
      </c>
      <c r="U29" s="71"/>
      <c r="V29" s="72"/>
      <c r="W29" s="72"/>
      <c r="X29" s="72"/>
      <c r="Y29" s="72"/>
      <c r="Z29" s="72"/>
      <c r="AA29" s="72"/>
      <c r="AB29" s="72"/>
      <c r="AC29" s="72"/>
      <c r="AD29" s="73"/>
      <c r="AE29" s="257"/>
      <c r="AF29" s="270">
        <f>IF(ISBLANK(D29)," ",SUM(U29:AD29)*AF5/AE5)</f>
        <v>0</v>
      </c>
      <c r="AG29" s="357">
        <v>0</v>
      </c>
      <c r="AH29" s="266">
        <f t="shared" si="12"/>
        <v>0</v>
      </c>
      <c r="AI29" s="276" t="e">
        <f t="shared" si="10"/>
        <v>#DIV/0!</v>
      </c>
      <c r="AJ29" s="277">
        <f t="shared" si="13"/>
        <v>0</v>
      </c>
      <c r="AK29" s="278" t="e">
        <f t="shared" si="11"/>
        <v>#DIV/0!</v>
      </c>
      <c r="AL29" s="279" t="e">
        <f t="shared" si="2"/>
        <v>#DIV/0!</v>
      </c>
      <c r="AM29" s="74"/>
      <c r="AN29" s="233">
        <f t="shared" si="3"/>
        <v>24</v>
      </c>
      <c r="AO29" s="92"/>
      <c r="AP29" s="91"/>
      <c r="AQ29" s="91"/>
      <c r="AR29" s="91"/>
      <c r="AS29" s="91"/>
      <c r="AT29" s="287" t="e">
        <f t="shared" si="4"/>
        <v>#N/A</v>
      </c>
      <c r="AU29" s="288" t="e">
        <f t="shared" si="5"/>
        <v>#N/A</v>
      </c>
      <c r="AV29" s="92"/>
      <c r="AW29" s="91"/>
      <c r="AX29" s="91"/>
      <c r="AY29" s="91"/>
      <c r="AZ29" s="91"/>
      <c r="BA29" s="292" t="e">
        <f t="shared" si="6"/>
        <v>#N/A</v>
      </c>
      <c r="BB29" s="92"/>
      <c r="BC29" s="91"/>
      <c r="BD29" s="91"/>
      <c r="BE29" s="91"/>
      <c r="BF29" s="91"/>
      <c r="BG29" s="297" t="e">
        <f t="shared" si="7"/>
        <v>#N/A</v>
      </c>
      <c r="BH29" s="298" t="e">
        <f t="shared" si="8"/>
        <v>#N/A</v>
      </c>
      <c r="BI29" s="292" t="e">
        <f t="shared" si="9"/>
        <v>#N/A</v>
      </c>
      <c r="BJ29" s="258">
        <v>24</v>
      </c>
      <c r="BK29" s="94"/>
      <c r="BL29" s="102"/>
      <c r="BM29" s="93"/>
      <c r="BN29" s="237">
        <v>20</v>
      </c>
      <c r="BO29" s="171"/>
      <c r="BP29" s="172"/>
      <c r="BQ29" s="246">
        <f>AD5</f>
        <v>0</v>
      </c>
      <c r="BU29" s="82"/>
      <c r="BV29" s="100"/>
      <c r="BW29" s="100"/>
      <c r="BX29" s="100"/>
      <c r="BY29" s="100"/>
    </row>
    <row r="30" spans="1:77" ht="16.5" customHeight="1" x14ac:dyDescent="0.3">
      <c r="A30" s="256">
        <v>25</v>
      </c>
      <c r="B30" s="403" t="s">
        <v>445</v>
      </c>
      <c r="C30" s="401" t="s">
        <v>413</v>
      </c>
      <c r="D30" s="402" t="s">
        <v>381</v>
      </c>
      <c r="E30" s="134" t="s">
        <v>130</v>
      </c>
      <c r="F30" s="230">
        <f t="shared" si="0"/>
        <v>25</v>
      </c>
      <c r="G30" s="71"/>
      <c r="H30" s="72"/>
      <c r="I30" s="72"/>
      <c r="J30" s="72"/>
      <c r="K30" s="72"/>
      <c r="L30" s="72"/>
      <c r="M30" s="72"/>
      <c r="N30" s="68"/>
      <c r="O30" s="72"/>
      <c r="P30" s="73"/>
      <c r="Q30" s="257"/>
      <c r="R30" s="265" t="e">
        <f>IF(ISBLANK(D30)," ",SUM(G30:P30)*R5/Q5)</f>
        <v>#DIV/0!</v>
      </c>
      <c r="S30" s="357">
        <v>0</v>
      </c>
      <c r="T30" s="266" t="e">
        <f t="shared" si="1"/>
        <v>#DIV/0!</v>
      </c>
      <c r="U30" s="71"/>
      <c r="V30" s="72"/>
      <c r="W30" s="72"/>
      <c r="X30" s="72"/>
      <c r="Y30" s="72"/>
      <c r="Z30" s="72"/>
      <c r="AA30" s="72"/>
      <c r="AB30" s="72"/>
      <c r="AC30" s="72"/>
      <c r="AD30" s="73"/>
      <c r="AE30" s="257"/>
      <c r="AF30" s="270">
        <f>IF(ISBLANK(D30)," ",SUM(U30:AD30)*AF5/AE5)</f>
        <v>0</v>
      </c>
      <c r="AG30" s="357">
        <v>0</v>
      </c>
      <c r="AH30" s="266">
        <f t="shared" si="12"/>
        <v>0</v>
      </c>
      <c r="AI30" s="276" t="e">
        <f t="shared" si="10"/>
        <v>#DIV/0!</v>
      </c>
      <c r="AJ30" s="277">
        <f t="shared" si="13"/>
        <v>0</v>
      </c>
      <c r="AK30" s="278" t="e">
        <f t="shared" si="11"/>
        <v>#DIV/0!</v>
      </c>
      <c r="AL30" s="279" t="e">
        <f t="shared" si="2"/>
        <v>#DIV/0!</v>
      </c>
      <c r="AM30" s="74"/>
      <c r="AN30" s="233">
        <f t="shared" si="3"/>
        <v>25</v>
      </c>
      <c r="AO30" s="92"/>
      <c r="AP30" s="91"/>
      <c r="AQ30" s="91"/>
      <c r="AR30" s="91"/>
      <c r="AS30" s="91"/>
      <c r="AT30" s="287" t="e">
        <f t="shared" si="4"/>
        <v>#N/A</v>
      </c>
      <c r="AU30" s="288" t="e">
        <f t="shared" si="5"/>
        <v>#N/A</v>
      </c>
      <c r="AV30" s="92"/>
      <c r="AW30" s="91"/>
      <c r="AX30" s="91"/>
      <c r="AY30" s="91"/>
      <c r="AZ30" s="91"/>
      <c r="BA30" s="292" t="e">
        <f t="shared" si="6"/>
        <v>#N/A</v>
      </c>
      <c r="BB30" s="84"/>
      <c r="BC30" s="83"/>
      <c r="BD30" s="91"/>
      <c r="BE30" s="91"/>
      <c r="BF30" s="91"/>
      <c r="BG30" s="297" t="e">
        <f t="shared" si="7"/>
        <v>#N/A</v>
      </c>
      <c r="BH30" s="298" t="e">
        <f t="shared" si="8"/>
        <v>#N/A</v>
      </c>
      <c r="BI30" s="292" t="e">
        <f t="shared" si="9"/>
        <v>#N/A</v>
      </c>
      <c r="BJ30" s="258">
        <v>25</v>
      </c>
      <c r="BK30" s="94"/>
      <c r="BL30" s="103"/>
      <c r="BM30" s="93"/>
      <c r="BN30" s="229"/>
      <c r="BO30" s="152"/>
      <c r="BP30" s="170" t="s">
        <v>88</v>
      </c>
      <c r="BQ30" s="245">
        <f>AF5</f>
        <v>70</v>
      </c>
      <c r="BU30" s="82"/>
      <c r="BV30" s="100"/>
      <c r="BW30" s="100"/>
      <c r="BX30" s="100"/>
      <c r="BY30" s="80"/>
    </row>
    <row r="31" spans="1:77" ht="16.5" customHeight="1" x14ac:dyDescent="0.3">
      <c r="A31" s="256">
        <v>26</v>
      </c>
      <c r="B31" s="403" t="s">
        <v>446</v>
      </c>
      <c r="C31" s="401" t="s">
        <v>414</v>
      </c>
      <c r="D31" s="402" t="s">
        <v>382</v>
      </c>
      <c r="E31" s="134" t="s">
        <v>130</v>
      </c>
      <c r="F31" s="230">
        <f t="shared" si="0"/>
        <v>26</v>
      </c>
      <c r="G31" s="71"/>
      <c r="H31" s="72"/>
      <c r="I31" s="72"/>
      <c r="J31" s="72"/>
      <c r="K31" s="72"/>
      <c r="L31" s="72"/>
      <c r="M31" s="72"/>
      <c r="N31" s="68"/>
      <c r="O31" s="72"/>
      <c r="P31" s="73"/>
      <c r="Q31" s="257"/>
      <c r="R31" s="265" t="e">
        <f>IF(ISBLANK(D31)," ",SUM(G31:P31)*R5/Q5)</f>
        <v>#DIV/0!</v>
      </c>
      <c r="S31" s="357">
        <v>0</v>
      </c>
      <c r="T31" s="266" t="e">
        <f t="shared" si="1"/>
        <v>#DIV/0!</v>
      </c>
      <c r="U31" s="71"/>
      <c r="V31" s="72"/>
      <c r="W31" s="72"/>
      <c r="X31" s="72"/>
      <c r="Y31" s="72"/>
      <c r="Z31" s="72"/>
      <c r="AA31" s="72"/>
      <c r="AB31" s="72"/>
      <c r="AC31" s="72"/>
      <c r="AD31" s="73"/>
      <c r="AE31" s="257"/>
      <c r="AF31" s="270">
        <f>IF(ISBLANK(D31)," ",SUM(U31:AD31)*AF5/AE5)</f>
        <v>0</v>
      </c>
      <c r="AG31" s="357">
        <v>0</v>
      </c>
      <c r="AH31" s="266">
        <f t="shared" si="12"/>
        <v>0</v>
      </c>
      <c r="AI31" s="276" t="e">
        <f t="shared" si="10"/>
        <v>#DIV/0!</v>
      </c>
      <c r="AJ31" s="277">
        <f t="shared" si="13"/>
        <v>0</v>
      </c>
      <c r="AK31" s="278" t="e">
        <f t="shared" si="11"/>
        <v>#DIV/0!</v>
      </c>
      <c r="AL31" s="279" t="e">
        <f t="shared" si="2"/>
        <v>#DIV/0!</v>
      </c>
      <c r="AM31" s="74"/>
      <c r="AN31" s="233">
        <f t="shared" si="3"/>
        <v>26</v>
      </c>
      <c r="AO31" s="92"/>
      <c r="AP31" s="91"/>
      <c r="AQ31" s="91"/>
      <c r="AR31" s="91"/>
      <c r="AS31" s="91"/>
      <c r="AT31" s="287" t="e">
        <f t="shared" si="4"/>
        <v>#N/A</v>
      </c>
      <c r="AU31" s="288" t="e">
        <f t="shared" si="5"/>
        <v>#N/A</v>
      </c>
      <c r="AV31" s="92"/>
      <c r="AW31" s="91"/>
      <c r="AX31" s="91"/>
      <c r="AY31" s="91"/>
      <c r="AZ31" s="91"/>
      <c r="BA31" s="292" t="e">
        <f t="shared" si="6"/>
        <v>#N/A</v>
      </c>
      <c r="BB31" s="92"/>
      <c r="BC31" s="91"/>
      <c r="BD31" s="91"/>
      <c r="BE31" s="91"/>
      <c r="BF31" s="91"/>
      <c r="BG31" s="297" t="e">
        <f t="shared" si="7"/>
        <v>#N/A</v>
      </c>
      <c r="BH31" s="298" t="e">
        <f t="shared" si="8"/>
        <v>#N/A</v>
      </c>
      <c r="BI31" s="292" t="e">
        <f t="shared" si="9"/>
        <v>#N/A</v>
      </c>
      <c r="BJ31" s="258">
        <v>26</v>
      </c>
      <c r="BK31" s="94"/>
      <c r="BL31" s="103"/>
      <c r="BM31" s="93"/>
      <c r="BN31" s="230"/>
      <c r="BO31" s="156"/>
      <c r="BP31" s="167" t="s">
        <v>19</v>
      </c>
      <c r="BQ31" s="242">
        <f>AG5</f>
        <v>30</v>
      </c>
      <c r="BU31" s="82"/>
      <c r="BV31" s="100"/>
      <c r="BW31" s="100"/>
      <c r="BX31" s="100"/>
      <c r="BY31" s="80"/>
    </row>
    <row r="32" spans="1:77" ht="16.5" customHeight="1" x14ac:dyDescent="0.3">
      <c r="A32" s="256">
        <v>27</v>
      </c>
      <c r="B32" s="403" t="s">
        <v>447</v>
      </c>
      <c r="C32" s="401" t="s">
        <v>415</v>
      </c>
      <c r="D32" s="402" t="s">
        <v>383</v>
      </c>
      <c r="E32" s="134" t="s">
        <v>130</v>
      </c>
      <c r="F32" s="230">
        <f t="shared" si="0"/>
        <v>27</v>
      </c>
      <c r="G32" s="71"/>
      <c r="H32" s="72"/>
      <c r="I32" s="72"/>
      <c r="J32" s="72"/>
      <c r="K32" s="72"/>
      <c r="L32" s="72"/>
      <c r="M32" s="72"/>
      <c r="N32" s="68"/>
      <c r="O32" s="72"/>
      <c r="P32" s="73"/>
      <c r="Q32" s="257"/>
      <c r="R32" s="265" t="e">
        <f>IF(ISBLANK(D32)," ",SUM(G32:P32)*R5/Q5)</f>
        <v>#DIV/0!</v>
      </c>
      <c r="S32" s="357">
        <v>0</v>
      </c>
      <c r="T32" s="266" t="e">
        <f t="shared" si="1"/>
        <v>#DIV/0!</v>
      </c>
      <c r="U32" s="71"/>
      <c r="V32" s="72"/>
      <c r="W32" s="72"/>
      <c r="X32" s="72"/>
      <c r="Y32" s="72"/>
      <c r="Z32" s="72"/>
      <c r="AA32" s="72"/>
      <c r="AB32" s="72"/>
      <c r="AC32" s="72"/>
      <c r="AD32" s="73"/>
      <c r="AE32" s="257"/>
      <c r="AF32" s="270">
        <f>IF(ISBLANK(D32)," ",SUM(U32:AD32)*AF5/AE5)</f>
        <v>0</v>
      </c>
      <c r="AG32" s="357">
        <v>0</v>
      </c>
      <c r="AH32" s="266">
        <f t="shared" si="12"/>
        <v>0</v>
      </c>
      <c r="AI32" s="276" t="e">
        <f t="shared" si="10"/>
        <v>#DIV/0!</v>
      </c>
      <c r="AJ32" s="277">
        <f t="shared" si="13"/>
        <v>0</v>
      </c>
      <c r="AK32" s="278" t="e">
        <f t="shared" si="11"/>
        <v>#DIV/0!</v>
      </c>
      <c r="AL32" s="279" t="e">
        <f t="shared" si="2"/>
        <v>#DIV/0!</v>
      </c>
      <c r="AM32" s="74"/>
      <c r="AN32" s="233">
        <f t="shared" si="3"/>
        <v>27</v>
      </c>
      <c r="AO32" s="92"/>
      <c r="AP32" s="91"/>
      <c r="AQ32" s="91"/>
      <c r="AR32" s="91"/>
      <c r="AS32" s="91"/>
      <c r="AT32" s="287" t="e">
        <f t="shared" si="4"/>
        <v>#N/A</v>
      </c>
      <c r="AU32" s="288" t="e">
        <f t="shared" si="5"/>
        <v>#N/A</v>
      </c>
      <c r="AV32" s="92"/>
      <c r="AW32" s="91"/>
      <c r="AX32" s="91"/>
      <c r="AY32" s="91"/>
      <c r="AZ32" s="91"/>
      <c r="BA32" s="292" t="e">
        <f t="shared" si="6"/>
        <v>#N/A</v>
      </c>
      <c r="BB32" s="92"/>
      <c r="BC32" s="91"/>
      <c r="BD32" s="91"/>
      <c r="BE32" s="91"/>
      <c r="BF32" s="91"/>
      <c r="BG32" s="297" t="e">
        <f t="shared" si="7"/>
        <v>#N/A</v>
      </c>
      <c r="BH32" s="298" t="e">
        <f t="shared" si="8"/>
        <v>#N/A</v>
      </c>
      <c r="BI32" s="292" t="e">
        <f t="shared" si="9"/>
        <v>#N/A</v>
      </c>
      <c r="BJ32" s="258">
        <v>27</v>
      </c>
      <c r="BK32" s="94"/>
      <c r="BL32" s="103"/>
      <c r="BM32" s="93"/>
      <c r="BN32" s="230"/>
      <c r="BO32" s="156"/>
      <c r="BP32" s="168" t="s">
        <v>105</v>
      </c>
      <c r="BQ32" s="247">
        <f>AH5</f>
        <v>100</v>
      </c>
      <c r="BU32" s="82"/>
      <c r="BV32" s="100"/>
      <c r="BW32" s="100"/>
      <c r="BX32" s="100"/>
      <c r="BY32" s="80"/>
    </row>
    <row r="33" spans="1:77" ht="16.5" customHeight="1" thickBot="1" x14ac:dyDescent="0.35">
      <c r="A33" s="256">
        <v>28</v>
      </c>
      <c r="B33" s="403" t="s">
        <v>448</v>
      </c>
      <c r="C33" s="401" t="s">
        <v>416</v>
      </c>
      <c r="D33" s="402" t="s">
        <v>384</v>
      </c>
      <c r="E33" s="134" t="s">
        <v>130</v>
      </c>
      <c r="F33" s="230">
        <f t="shared" si="0"/>
        <v>28</v>
      </c>
      <c r="G33" s="71"/>
      <c r="H33" s="72"/>
      <c r="I33" s="72"/>
      <c r="J33" s="72"/>
      <c r="K33" s="72"/>
      <c r="L33" s="72"/>
      <c r="M33" s="72"/>
      <c r="N33" s="68"/>
      <c r="O33" s="72"/>
      <c r="P33" s="73"/>
      <c r="Q33" s="257"/>
      <c r="R33" s="265" t="e">
        <f>IF(ISBLANK(D33)," ",SUM(G33:P33)*R5/Q5)</f>
        <v>#DIV/0!</v>
      </c>
      <c r="S33" s="357">
        <v>0</v>
      </c>
      <c r="T33" s="266" t="e">
        <f t="shared" si="1"/>
        <v>#DIV/0!</v>
      </c>
      <c r="U33" s="71"/>
      <c r="V33" s="72"/>
      <c r="W33" s="72"/>
      <c r="X33" s="72"/>
      <c r="Y33" s="72"/>
      <c r="Z33" s="72"/>
      <c r="AA33" s="72"/>
      <c r="AB33" s="72"/>
      <c r="AC33" s="72"/>
      <c r="AD33" s="73"/>
      <c r="AE33" s="257"/>
      <c r="AF33" s="270">
        <f>IF(ISBLANK(D33)," ",SUM(U33:AD33)*AF5/AE5)</f>
        <v>0</v>
      </c>
      <c r="AG33" s="357">
        <v>0</v>
      </c>
      <c r="AH33" s="266">
        <f t="shared" si="12"/>
        <v>0</v>
      </c>
      <c r="AI33" s="276" t="e">
        <f t="shared" si="10"/>
        <v>#DIV/0!</v>
      </c>
      <c r="AJ33" s="277">
        <f t="shared" si="13"/>
        <v>0</v>
      </c>
      <c r="AK33" s="278" t="e">
        <f t="shared" si="11"/>
        <v>#DIV/0!</v>
      </c>
      <c r="AL33" s="279" t="e">
        <f t="shared" si="2"/>
        <v>#DIV/0!</v>
      </c>
      <c r="AM33" s="74"/>
      <c r="AN33" s="233">
        <f t="shared" si="3"/>
        <v>28</v>
      </c>
      <c r="AO33" s="92"/>
      <c r="AP33" s="91"/>
      <c r="AQ33" s="91"/>
      <c r="AR33" s="91"/>
      <c r="AS33" s="91"/>
      <c r="AT33" s="287" t="e">
        <f t="shared" si="4"/>
        <v>#N/A</v>
      </c>
      <c r="AU33" s="288" t="e">
        <f t="shared" si="5"/>
        <v>#N/A</v>
      </c>
      <c r="AV33" s="92"/>
      <c r="AW33" s="91"/>
      <c r="AX33" s="91"/>
      <c r="AY33" s="91"/>
      <c r="AZ33" s="91"/>
      <c r="BA33" s="292" t="e">
        <f t="shared" si="6"/>
        <v>#N/A</v>
      </c>
      <c r="BB33" s="92"/>
      <c r="BC33" s="91"/>
      <c r="BD33" s="91"/>
      <c r="BE33" s="91"/>
      <c r="BF33" s="91"/>
      <c r="BG33" s="297" t="e">
        <f t="shared" si="7"/>
        <v>#N/A</v>
      </c>
      <c r="BH33" s="298" t="e">
        <f t="shared" si="8"/>
        <v>#N/A</v>
      </c>
      <c r="BI33" s="292" t="e">
        <f t="shared" si="9"/>
        <v>#N/A</v>
      </c>
      <c r="BJ33" s="258">
        <v>28</v>
      </c>
      <c r="BK33" s="94"/>
      <c r="BL33" s="103"/>
      <c r="BM33" s="93"/>
      <c r="BN33" s="231"/>
      <c r="BO33" s="157"/>
      <c r="BP33" s="169" t="s">
        <v>92</v>
      </c>
      <c r="BQ33" s="243">
        <f>BQ18+BQ32</f>
        <v>200</v>
      </c>
      <c r="BU33" s="82"/>
      <c r="BV33" s="100"/>
      <c r="BW33" s="100"/>
      <c r="BX33" s="100"/>
      <c r="BY33" s="80"/>
    </row>
    <row r="34" spans="1:77" ht="16.5" customHeight="1" x14ac:dyDescent="0.3">
      <c r="A34" s="256">
        <v>29</v>
      </c>
      <c r="B34" s="403" t="s">
        <v>449</v>
      </c>
      <c r="C34" s="401" t="s">
        <v>417</v>
      </c>
      <c r="D34" s="402" t="s">
        <v>385</v>
      </c>
      <c r="E34" s="134" t="s">
        <v>130</v>
      </c>
      <c r="F34" s="230">
        <f t="shared" si="0"/>
        <v>29</v>
      </c>
      <c r="G34" s="71"/>
      <c r="H34" s="72"/>
      <c r="I34" s="72"/>
      <c r="J34" s="72"/>
      <c r="K34" s="72"/>
      <c r="L34" s="72"/>
      <c r="M34" s="72"/>
      <c r="N34" s="68"/>
      <c r="O34" s="72"/>
      <c r="P34" s="73"/>
      <c r="Q34" s="257"/>
      <c r="R34" s="265" t="e">
        <f>IF(ISBLANK(D34)," ",SUM(G34:P34)*R5/Q5)</f>
        <v>#DIV/0!</v>
      </c>
      <c r="S34" s="357">
        <v>0</v>
      </c>
      <c r="T34" s="266" t="e">
        <f t="shared" si="1"/>
        <v>#DIV/0!</v>
      </c>
      <c r="U34" s="71"/>
      <c r="V34" s="72"/>
      <c r="W34" s="72"/>
      <c r="X34" s="72"/>
      <c r="Y34" s="72"/>
      <c r="Z34" s="72"/>
      <c r="AA34" s="72"/>
      <c r="AB34" s="72"/>
      <c r="AC34" s="72"/>
      <c r="AD34" s="73"/>
      <c r="AE34" s="257"/>
      <c r="AF34" s="270">
        <f>IF(ISBLANK(D34)," ",SUM(U34:AD34)*AF5/AE5)</f>
        <v>0</v>
      </c>
      <c r="AG34" s="357">
        <v>0</v>
      </c>
      <c r="AH34" s="266">
        <f t="shared" si="12"/>
        <v>0</v>
      </c>
      <c r="AI34" s="276" t="e">
        <f t="shared" si="10"/>
        <v>#DIV/0!</v>
      </c>
      <c r="AJ34" s="277">
        <f t="shared" si="13"/>
        <v>0</v>
      </c>
      <c r="AK34" s="278" t="e">
        <f t="shared" si="11"/>
        <v>#DIV/0!</v>
      </c>
      <c r="AL34" s="279" t="e">
        <f t="shared" si="2"/>
        <v>#DIV/0!</v>
      </c>
      <c r="AM34" s="74"/>
      <c r="AN34" s="233">
        <f t="shared" si="3"/>
        <v>29</v>
      </c>
      <c r="AO34" s="92"/>
      <c r="AP34" s="91"/>
      <c r="AQ34" s="91"/>
      <c r="AR34" s="91"/>
      <c r="AS34" s="91"/>
      <c r="AT34" s="287" t="e">
        <f t="shared" si="4"/>
        <v>#N/A</v>
      </c>
      <c r="AU34" s="288" t="e">
        <f t="shared" si="5"/>
        <v>#N/A</v>
      </c>
      <c r="AV34" s="92"/>
      <c r="AW34" s="91"/>
      <c r="AX34" s="91"/>
      <c r="AY34" s="91"/>
      <c r="AZ34" s="91"/>
      <c r="BA34" s="292" t="e">
        <f t="shared" si="6"/>
        <v>#N/A</v>
      </c>
      <c r="BB34" s="92"/>
      <c r="BC34" s="91"/>
      <c r="BD34" s="91"/>
      <c r="BE34" s="91"/>
      <c r="BF34" s="91"/>
      <c r="BG34" s="297" t="e">
        <f t="shared" si="7"/>
        <v>#N/A</v>
      </c>
      <c r="BH34" s="298" t="e">
        <f t="shared" si="8"/>
        <v>#N/A</v>
      </c>
      <c r="BI34" s="292" t="e">
        <f t="shared" si="9"/>
        <v>#N/A</v>
      </c>
      <c r="BJ34" s="258">
        <v>29</v>
      </c>
      <c r="BK34" s="94"/>
      <c r="BL34" s="103"/>
      <c r="BM34" s="93"/>
      <c r="BN34" s="229"/>
      <c r="BO34" s="153"/>
      <c r="BP34" s="165"/>
      <c r="BQ34" s="159"/>
      <c r="BU34" s="82"/>
      <c r="BV34" s="100"/>
      <c r="BW34" s="100"/>
      <c r="BX34" s="100"/>
      <c r="BY34" s="80"/>
    </row>
    <row r="35" spans="1:77" ht="16.5" customHeight="1" x14ac:dyDescent="0.3">
      <c r="A35" s="256">
        <v>30</v>
      </c>
      <c r="B35" s="403" t="s">
        <v>450</v>
      </c>
      <c r="C35" s="401" t="s">
        <v>418</v>
      </c>
      <c r="D35" s="402" t="s">
        <v>386</v>
      </c>
      <c r="E35" s="134" t="s">
        <v>130</v>
      </c>
      <c r="F35" s="230">
        <f t="shared" si="0"/>
        <v>30</v>
      </c>
      <c r="G35" s="71"/>
      <c r="H35" s="72"/>
      <c r="I35" s="72"/>
      <c r="J35" s="72"/>
      <c r="K35" s="72"/>
      <c r="L35" s="72"/>
      <c r="M35" s="72"/>
      <c r="N35" s="68"/>
      <c r="O35" s="72"/>
      <c r="P35" s="73"/>
      <c r="Q35" s="257"/>
      <c r="R35" s="265" t="e">
        <f>IF(ISBLANK(D35)," ",SUM(G35:P35)*R5/Q5)</f>
        <v>#DIV/0!</v>
      </c>
      <c r="S35" s="357">
        <v>0</v>
      </c>
      <c r="T35" s="266" t="e">
        <f t="shared" si="1"/>
        <v>#DIV/0!</v>
      </c>
      <c r="U35" s="71"/>
      <c r="V35" s="72"/>
      <c r="W35" s="72"/>
      <c r="X35" s="72"/>
      <c r="Y35" s="72"/>
      <c r="Z35" s="72"/>
      <c r="AA35" s="72"/>
      <c r="AB35" s="72"/>
      <c r="AC35" s="72"/>
      <c r="AD35" s="73"/>
      <c r="AE35" s="257"/>
      <c r="AF35" s="270">
        <f>IF(ISBLANK(D35)," ",SUM(U35:AD35)*AF5/AE5)</f>
        <v>0</v>
      </c>
      <c r="AG35" s="357">
        <v>0</v>
      </c>
      <c r="AH35" s="266">
        <f t="shared" si="12"/>
        <v>0</v>
      </c>
      <c r="AI35" s="276" t="e">
        <f t="shared" si="10"/>
        <v>#DIV/0!</v>
      </c>
      <c r="AJ35" s="277">
        <f t="shared" si="13"/>
        <v>0</v>
      </c>
      <c r="AK35" s="278" t="e">
        <f t="shared" si="11"/>
        <v>#DIV/0!</v>
      </c>
      <c r="AL35" s="279" t="e">
        <f t="shared" si="2"/>
        <v>#DIV/0!</v>
      </c>
      <c r="AM35" s="74"/>
      <c r="AN35" s="233">
        <f t="shared" si="3"/>
        <v>30</v>
      </c>
      <c r="AO35" s="92"/>
      <c r="AP35" s="91"/>
      <c r="AQ35" s="91"/>
      <c r="AR35" s="91"/>
      <c r="AS35" s="91"/>
      <c r="AT35" s="287" t="e">
        <f t="shared" si="4"/>
        <v>#N/A</v>
      </c>
      <c r="AU35" s="288" t="e">
        <f t="shared" si="5"/>
        <v>#N/A</v>
      </c>
      <c r="AV35" s="92"/>
      <c r="AW35" s="91"/>
      <c r="AX35" s="91"/>
      <c r="AY35" s="91"/>
      <c r="AZ35" s="91"/>
      <c r="BA35" s="292" t="e">
        <f t="shared" si="6"/>
        <v>#N/A</v>
      </c>
      <c r="BB35" s="92"/>
      <c r="BC35" s="91"/>
      <c r="BD35" s="91"/>
      <c r="BE35" s="91"/>
      <c r="BF35" s="91"/>
      <c r="BG35" s="297" t="e">
        <f t="shared" si="7"/>
        <v>#N/A</v>
      </c>
      <c r="BH35" s="298" t="e">
        <f t="shared" si="8"/>
        <v>#N/A</v>
      </c>
      <c r="BI35" s="292" t="e">
        <f t="shared" si="9"/>
        <v>#N/A</v>
      </c>
      <c r="BJ35" s="258">
        <v>30</v>
      </c>
      <c r="BK35" s="94"/>
      <c r="BL35" s="103"/>
      <c r="BM35" s="93"/>
      <c r="BN35" s="230"/>
      <c r="BO35" s="301"/>
      <c r="BP35" s="96"/>
      <c r="BQ35" s="302"/>
      <c r="BU35" s="80"/>
    </row>
    <row r="36" spans="1:77" ht="16.5" customHeight="1" x14ac:dyDescent="0.3">
      <c r="A36" s="256">
        <v>31</v>
      </c>
      <c r="B36" s="404" t="s">
        <v>451</v>
      </c>
      <c r="C36" s="401" t="s">
        <v>419</v>
      </c>
      <c r="D36" s="402" t="s">
        <v>387</v>
      </c>
      <c r="E36" s="134" t="s">
        <v>130</v>
      </c>
      <c r="F36" s="230">
        <f t="shared" si="0"/>
        <v>31</v>
      </c>
      <c r="G36" s="71"/>
      <c r="H36" s="72"/>
      <c r="I36" s="72"/>
      <c r="J36" s="72"/>
      <c r="K36" s="72"/>
      <c r="L36" s="72"/>
      <c r="M36" s="72"/>
      <c r="N36" s="68"/>
      <c r="O36" s="72"/>
      <c r="P36" s="73"/>
      <c r="Q36" s="257"/>
      <c r="R36" s="265" t="e">
        <f>IF(ISBLANK(D36)," ",SUM(G36:P36)*R5/Q5)</f>
        <v>#DIV/0!</v>
      </c>
      <c r="S36" s="357">
        <v>0</v>
      </c>
      <c r="T36" s="266" t="e">
        <f t="shared" si="1"/>
        <v>#DIV/0!</v>
      </c>
      <c r="U36" s="71"/>
      <c r="V36" s="72"/>
      <c r="W36" s="72"/>
      <c r="X36" s="72"/>
      <c r="Y36" s="72"/>
      <c r="Z36" s="72"/>
      <c r="AA36" s="72"/>
      <c r="AB36" s="72"/>
      <c r="AC36" s="72"/>
      <c r="AD36" s="73"/>
      <c r="AE36" s="257"/>
      <c r="AF36" s="270">
        <f>IF(ISBLANK(D36)," ",SUM(U36:AD36)*AF5/AE5)</f>
        <v>0</v>
      </c>
      <c r="AG36" s="357">
        <v>0</v>
      </c>
      <c r="AH36" s="266">
        <f t="shared" si="12"/>
        <v>0</v>
      </c>
      <c r="AI36" s="276" t="e">
        <f t="shared" si="10"/>
        <v>#DIV/0!</v>
      </c>
      <c r="AJ36" s="277">
        <f t="shared" si="13"/>
        <v>0</v>
      </c>
      <c r="AK36" s="278" t="e">
        <f t="shared" si="11"/>
        <v>#DIV/0!</v>
      </c>
      <c r="AL36" s="279" t="e">
        <f t="shared" si="2"/>
        <v>#DIV/0!</v>
      </c>
      <c r="AM36" s="74"/>
      <c r="AN36" s="233">
        <f t="shared" si="3"/>
        <v>31</v>
      </c>
      <c r="AO36" s="92"/>
      <c r="AP36" s="91"/>
      <c r="AQ36" s="91"/>
      <c r="AR36" s="91"/>
      <c r="AS36" s="91"/>
      <c r="AT36" s="287" t="e">
        <f t="shared" si="4"/>
        <v>#N/A</v>
      </c>
      <c r="AU36" s="288" t="e">
        <f t="shared" si="5"/>
        <v>#N/A</v>
      </c>
      <c r="AV36" s="92"/>
      <c r="AW36" s="91"/>
      <c r="AX36" s="91"/>
      <c r="AY36" s="91"/>
      <c r="AZ36" s="91"/>
      <c r="BA36" s="292" t="e">
        <f t="shared" si="6"/>
        <v>#N/A</v>
      </c>
      <c r="BB36" s="92"/>
      <c r="BC36" s="91"/>
      <c r="BD36" s="91"/>
      <c r="BE36" s="91"/>
      <c r="BF36" s="91"/>
      <c r="BG36" s="297" t="e">
        <f t="shared" si="7"/>
        <v>#N/A</v>
      </c>
      <c r="BH36" s="298" t="e">
        <f t="shared" si="8"/>
        <v>#N/A</v>
      </c>
      <c r="BI36" s="292" t="e">
        <f t="shared" si="9"/>
        <v>#N/A</v>
      </c>
      <c r="BJ36" s="258">
        <v>31</v>
      </c>
      <c r="BK36" s="94"/>
      <c r="BL36" s="103"/>
      <c r="BM36" s="93"/>
      <c r="BN36" s="230"/>
      <c r="BO36" s="301"/>
      <c r="BP36" s="96"/>
      <c r="BQ36" s="302"/>
      <c r="BU36" s="88"/>
    </row>
    <row r="37" spans="1:77" ht="16.5" customHeight="1" x14ac:dyDescent="0.3">
      <c r="A37" s="256">
        <v>32</v>
      </c>
      <c r="B37" s="403" t="s">
        <v>452</v>
      </c>
      <c r="C37" s="401" t="s">
        <v>420</v>
      </c>
      <c r="D37" s="402" t="s">
        <v>388</v>
      </c>
      <c r="E37" s="134" t="s">
        <v>130</v>
      </c>
      <c r="F37" s="230">
        <f t="shared" si="0"/>
        <v>32</v>
      </c>
      <c r="G37" s="71"/>
      <c r="H37" s="72"/>
      <c r="I37" s="72"/>
      <c r="J37" s="72"/>
      <c r="K37" s="72"/>
      <c r="L37" s="72"/>
      <c r="M37" s="72"/>
      <c r="N37" s="68"/>
      <c r="O37" s="72"/>
      <c r="P37" s="73"/>
      <c r="Q37" s="257"/>
      <c r="R37" s="265" t="e">
        <f>IF(ISBLANK(D37)," ",SUM(G37:P37)*R5/Q5)</f>
        <v>#DIV/0!</v>
      </c>
      <c r="S37" s="357">
        <v>0</v>
      </c>
      <c r="T37" s="266" t="e">
        <f t="shared" si="1"/>
        <v>#DIV/0!</v>
      </c>
      <c r="U37" s="71"/>
      <c r="V37" s="72"/>
      <c r="W37" s="72"/>
      <c r="X37" s="72"/>
      <c r="Y37" s="72"/>
      <c r="Z37" s="72"/>
      <c r="AA37" s="72"/>
      <c r="AB37" s="72"/>
      <c r="AC37" s="72"/>
      <c r="AD37" s="73"/>
      <c r="AE37" s="257"/>
      <c r="AF37" s="270">
        <f>IF(ISBLANK(D37)," ",SUM(U37:AD37)*AF5/AE5)</f>
        <v>0</v>
      </c>
      <c r="AG37" s="357">
        <v>0</v>
      </c>
      <c r="AH37" s="266">
        <f t="shared" si="12"/>
        <v>0</v>
      </c>
      <c r="AI37" s="276" t="e">
        <f t="shared" si="10"/>
        <v>#DIV/0!</v>
      </c>
      <c r="AJ37" s="277">
        <f t="shared" si="13"/>
        <v>0</v>
      </c>
      <c r="AK37" s="278" t="e">
        <f t="shared" si="11"/>
        <v>#DIV/0!</v>
      </c>
      <c r="AL37" s="279" t="e">
        <f t="shared" si="2"/>
        <v>#DIV/0!</v>
      </c>
      <c r="AM37" s="74"/>
      <c r="AN37" s="233">
        <f t="shared" si="3"/>
        <v>32</v>
      </c>
      <c r="AO37" s="92"/>
      <c r="AP37" s="91"/>
      <c r="AQ37" s="91"/>
      <c r="AR37" s="91"/>
      <c r="AS37" s="91"/>
      <c r="AT37" s="287" t="e">
        <f t="shared" si="4"/>
        <v>#N/A</v>
      </c>
      <c r="AU37" s="288" t="e">
        <f t="shared" si="5"/>
        <v>#N/A</v>
      </c>
      <c r="AV37" s="92"/>
      <c r="AW37" s="91"/>
      <c r="AX37" s="91"/>
      <c r="AY37" s="91"/>
      <c r="AZ37" s="91"/>
      <c r="BA37" s="292" t="e">
        <f t="shared" si="6"/>
        <v>#N/A</v>
      </c>
      <c r="BB37" s="92"/>
      <c r="BC37" s="91"/>
      <c r="BD37" s="91"/>
      <c r="BE37" s="91"/>
      <c r="BF37" s="91"/>
      <c r="BG37" s="297" t="e">
        <f t="shared" si="7"/>
        <v>#N/A</v>
      </c>
      <c r="BH37" s="298" t="e">
        <f t="shared" si="8"/>
        <v>#N/A</v>
      </c>
      <c r="BI37" s="292" t="e">
        <f t="shared" si="9"/>
        <v>#N/A</v>
      </c>
      <c r="BJ37" s="258">
        <v>32</v>
      </c>
      <c r="BK37" s="94"/>
      <c r="BL37" s="103"/>
      <c r="BM37" s="93"/>
      <c r="BN37" s="230"/>
      <c r="BO37" s="301"/>
      <c r="BP37" s="96"/>
      <c r="BQ37" s="302"/>
      <c r="BU37" s="88"/>
    </row>
    <row r="38" spans="1:77" ht="16.5" customHeight="1" x14ac:dyDescent="0.3">
      <c r="A38" s="256">
        <v>33</v>
      </c>
      <c r="B38" s="405"/>
      <c r="C38" s="401"/>
      <c r="D38" s="402"/>
      <c r="E38" s="134"/>
      <c r="F38" s="230" t="str">
        <f t="shared" ref="F38:F55" si="14">IF(ISBLANK(D38)," ",A38)</f>
        <v xml:space="preserve"> </v>
      </c>
      <c r="G38" s="71"/>
      <c r="H38" s="72"/>
      <c r="I38" s="72"/>
      <c r="J38" s="72"/>
      <c r="K38" s="72"/>
      <c r="L38" s="72"/>
      <c r="M38" s="72"/>
      <c r="N38" s="68"/>
      <c r="O38" s="72"/>
      <c r="P38" s="73"/>
      <c r="Q38" s="257"/>
      <c r="R38" s="265" t="str">
        <f>IF(ISBLANK(D38)," ",SUM(G38:P38)*R5/Q5)</f>
        <v xml:space="preserve"> </v>
      </c>
      <c r="S38" s="357">
        <v>0</v>
      </c>
      <c r="T38" s="266">
        <f t="shared" ref="T38:T55" si="15">IF(ISBLANK(S38)," ",SUM(R38:S38))</f>
        <v>0</v>
      </c>
      <c r="U38" s="71"/>
      <c r="V38" s="72"/>
      <c r="W38" s="72"/>
      <c r="X38" s="72"/>
      <c r="Y38" s="72"/>
      <c r="Z38" s="72"/>
      <c r="AA38" s="72"/>
      <c r="AB38" s="72"/>
      <c r="AC38" s="72"/>
      <c r="AD38" s="73"/>
      <c r="AE38" s="257"/>
      <c r="AF38" s="270" t="str">
        <f>IF(ISBLANK(D38)," ",SUM(U38:AD38)*AF5/AE5)</f>
        <v xml:space="preserve"> </v>
      </c>
      <c r="AG38" s="357">
        <v>0</v>
      </c>
      <c r="AH38" s="266">
        <f t="shared" si="12"/>
        <v>0</v>
      </c>
      <c r="AI38" s="276">
        <f t="shared" si="10"/>
        <v>0</v>
      </c>
      <c r="AJ38" s="277">
        <f t="shared" si="13"/>
        <v>0</v>
      </c>
      <c r="AK38" s="278" t="str">
        <f t="shared" si="11"/>
        <v xml:space="preserve"> </v>
      </c>
      <c r="AL38" s="279" t="str">
        <f t="shared" ref="AL38:AL55" si="16">IF(ISBLANK(D38)," ",IF(AK38&gt;=179.5,"4",IF(AK38&gt;=174.5,"3.5",IF(AK38&gt;=169.5,"3",IF(AK38&gt;=164.5,"2.5",IF(AK38&gt;=159.5,"2",IF(AK38&gt;=154.5,"1.5",IF(AK38&gt;=149.5,"1","0"))))))
))</f>
        <v xml:space="preserve"> </v>
      </c>
      <c r="AM38" s="74"/>
      <c r="AN38" s="233" t="str">
        <f t="shared" ref="AN38:AN55" si="17">IF(ISBLANK(D38)," ",A38)</f>
        <v xml:space="preserve"> </v>
      </c>
      <c r="AO38" s="92"/>
      <c r="AP38" s="91"/>
      <c r="AQ38" s="91"/>
      <c r="AR38" s="91"/>
      <c r="AS38" s="91"/>
      <c r="AT38" s="287" t="str">
        <f t="shared" ref="AT38:AT55" si="18">IF(ISBLANK(D38)," ",MODE(AO38:AS38))</f>
        <v xml:space="preserve"> </v>
      </c>
      <c r="AU38" s="288" t="str">
        <f t="shared" ref="AU38:AU55" si="19">IF(ISBLANK(D38)," ",IF(AT38&gt;=3,"ดีเยี่ยม",IF(AT38&gt;=2,"ดี","ผ่าน")))</f>
        <v xml:space="preserve"> </v>
      </c>
      <c r="AV38" s="92"/>
      <c r="AW38" s="91"/>
      <c r="AX38" s="91"/>
      <c r="AY38" s="91"/>
      <c r="AZ38" s="91"/>
      <c r="BA38" s="292" t="str">
        <f t="shared" ref="BA38:BA55" si="20">IF(ISBLANK(D38)," ",MODE(AV38:AZ38))</f>
        <v xml:space="preserve"> </v>
      </c>
      <c r="BB38" s="84"/>
      <c r="BC38" s="83"/>
      <c r="BD38" s="91"/>
      <c r="BE38" s="91"/>
      <c r="BF38" s="91"/>
      <c r="BG38" s="297" t="str">
        <f t="shared" ref="BG38:BG55" si="21">IF(ISBLANK(D38)," ",MODE(BB38:BF38))</f>
        <v xml:space="preserve"> </v>
      </c>
      <c r="BH38" s="298" t="str">
        <f t="shared" ref="BH38:BH55" si="22">IF(ISBLANK(D38)," ",ROUNDUP(AVERAGE(BA38,BG38),0))</f>
        <v xml:space="preserve"> </v>
      </c>
      <c r="BI38" s="292" t="str">
        <f t="shared" ref="BI38:BI55" si="23">IF(ISBLANK(D38)," ",IF(BH38&gt;=3,"ดีเยี่ยม",IF(BH38&gt;=2,"ดี","ผ่าน")))</f>
        <v xml:space="preserve"> </v>
      </c>
      <c r="BJ38" s="258">
        <v>33</v>
      </c>
      <c r="BK38" s="94"/>
      <c r="BL38" s="103"/>
      <c r="BM38" s="93"/>
      <c r="BN38" s="230"/>
      <c r="BO38" s="301"/>
      <c r="BP38" s="96"/>
      <c r="BQ38" s="302"/>
      <c r="BU38" s="101"/>
    </row>
    <row r="39" spans="1:77" ht="16.5" customHeight="1" x14ac:dyDescent="0.3">
      <c r="A39" s="256">
        <v>34</v>
      </c>
      <c r="B39" s="89"/>
      <c r="C39" s="349"/>
      <c r="D39" s="90"/>
      <c r="E39" s="134"/>
      <c r="F39" s="230" t="str">
        <f t="shared" si="14"/>
        <v xml:space="preserve"> </v>
      </c>
      <c r="G39" s="71"/>
      <c r="H39" s="72"/>
      <c r="I39" s="72"/>
      <c r="J39" s="72"/>
      <c r="K39" s="72"/>
      <c r="L39" s="72"/>
      <c r="M39" s="72"/>
      <c r="N39" s="68"/>
      <c r="O39" s="72"/>
      <c r="P39" s="73"/>
      <c r="Q39" s="257"/>
      <c r="R39" s="265" t="str">
        <f>IF(ISBLANK(D39)," ",SUM(G39:P39)*R5/Q5)</f>
        <v xml:space="preserve"> </v>
      </c>
      <c r="S39" s="357">
        <v>0</v>
      </c>
      <c r="T39" s="266">
        <f t="shared" si="15"/>
        <v>0</v>
      </c>
      <c r="U39" s="71"/>
      <c r="V39" s="72"/>
      <c r="W39" s="72"/>
      <c r="X39" s="72"/>
      <c r="Y39" s="72"/>
      <c r="Z39" s="72"/>
      <c r="AA39" s="72"/>
      <c r="AB39" s="72"/>
      <c r="AC39" s="72"/>
      <c r="AD39" s="73"/>
      <c r="AE39" s="257"/>
      <c r="AF39" s="270" t="str">
        <f>IF(ISBLANK(D39)," ",SUM(U39:AD39)*AF5/AE5)</f>
        <v xml:space="preserve"> </v>
      </c>
      <c r="AG39" s="357">
        <v>0</v>
      </c>
      <c r="AH39" s="266">
        <f t="shared" si="12"/>
        <v>0</v>
      </c>
      <c r="AI39" s="276">
        <f t="shared" si="10"/>
        <v>0</v>
      </c>
      <c r="AJ39" s="277">
        <f t="shared" si="13"/>
        <v>0</v>
      </c>
      <c r="AK39" s="278" t="str">
        <f t="shared" ref="AK39:AK55" si="24">IF(ISBLANK(D39)," ",SUM(AI39:AJ39))</f>
        <v xml:space="preserve"> </v>
      </c>
      <c r="AL39" s="279" t="str">
        <f t="shared" si="16"/>
        <v xml:space="preserve"> </v>
      </c>
      <c r="AM39" s="74"/>
      <c r="AN39" s="233" t="str">
        <f t="shared" si="17"/>
        <v xml:space="preserve"> </v>
      </c>
      <c r="AO39" s="92"/>
      <c r="AP39" s="91"/>
      <c r="AQ39" s="91"/>
      <c r="AR39" s="91"/>
      <c r="AS39" s="91"/>
      <c r="AT39" s="287" t="str">
        <f t="shared" si="18"/>
        <v xml:space="preserve"> </v>
      </c>
      <c r="AU39" s="288" t="str">
        <f t="shared" si="19"/>
        <v xml:space="preserve"> </v>
      </c>
      <c r="AV39" s="92"/>
      <c r="AW39" s="91"/>
      <c r="AX39" s="91"/>
      <c r="AY39" s="91"/>
      <c r="AZ39" s="91"/>
      <c r="BA39" s="292" t="str">
        <f t="shared" si="20"/>
        <v xml:space="preserve"> </v>
      </c>
      <c r="BB39" s="92"/>
      <c r="BC39" s="91"/>
      <c r="BD39" s="91"/>
      <c r="BE39" s="91"/>
      <c r="BF39" s="91"/>
      <c r="BG39" s="297" t="str">
        <f t="shared" si="21"/>
        <v xml:space="preserve"> </v>
      </c>
      <c r="BH39" s="298" t="str">
        <f t="shared" si="22"/>
        <v xml:space="preserve"> </v>
      </c>
      <c r="BI39" s="292" t="str">
        <f t="shared" si="23"/>
        <v xml:space="preserve"> </v>
      </c>
      <c r="BJ39" s="258">
        <v>34</v>
      </c>
      <c r="BK39" s="94"/>
      <c r="BL39" s="103"/>
      <c r="BM39" s="93"/>
      <c r="BN39" s="230"/>
      <c r="BO39" s="301"/>
      <c r="BP39" s="96"/>
      <c r="BQ39" s="302"/>
      <c r="BU39" s="101"/>
    </row>
    <row r="40" spans="1:77" ht="16.5" customHeight="1" x14ac:dyDescent="0.3">
      <c r="A40" s="256">
        <v>35</v>
      </c>
      <c r="B40" s="89"/>
      <c r="C40" s="349"/>
      <c r="D40" s="90"/>
      <c r="E40" s="134"/>
      <c r="F40" s="230" t="str">
        <f t="shared" si="14"/>
        <v xml:space="preserve"> </v>
      </c>
      <c r="G40" s="71"/>
      <c r="H40" s="72"/>
      <c r="I40" s="72"/>
      <c r="J40" s="72"/>
      <c r="K40" s="72"/>
      <c r="L40" s="72"/>
      <c r="M40" s="72"/>
      <c r="N40" s="68"/>
      <c r="O40" s="72"/>
      <c r="P40" s="73"/>
      <c r="Q40" s="257"/>
      <c r="R40" s="265" t="str">
        <f>IF(ISBLANK(D40)," ",SUM(G40:P40)*R5/Q5)</f>
        <v xml:space="preserve"> </v>
      </c>
      <c r="S40" s="357">
        <v>0</v>
      </c>
      <c r="T40" s="266">
        <f t="shared" si="15"/>
        <v>0</v>
      </c>
      <c r="U40" s="71"/>
      <c r="V40" s="72"/>
      <c r="W40" s="72"/>
      <c r="X40" s="72"/>
      <c r="Y40" s="72"/>
      <c r="Z40" s="72"/>
      <c r="AA40" s="72"/>
      <c r="AB40" s="72"/>
      <c r="AC40" s="72"/>
      <c r="AD40" s="73"/>
      <c r="AE40" s="257"/>
      <c r="AF40" s="270" t="str">
        <f>IF(ISBLANK(D40)," ",SUM(U40:AD40)*AF5/AE5)</f>
        <v xml:space="preserve"> </v>
      </c>
      <c r="AG40" s="357">
        <v>0</v>
      </c>
      <c r="AH40" s="266">
        <f t="shared" si="12"/>
        <v>0</v>
      </c>
      <c r="AI40" s="276">
        <f t="shared" si="10"/>
        <v>0</v>
      </c>
      <c r="AJ40" s="277">
        <f t="shared" si="13"/>
        <v>0</v>
      </c>
      <c r="AK40" s="278" t="str">
        <f t="shared" si="24"/>
        <v xml:space="preserve"> </v>
      </c>
      <c r="AL40" s="279" t="str">
        <f t="shared" si="16"/>
        <v xml:space="preserve"> </v>
      </c>
      <c r="AM40" s="74"/>
      <c r="AN40" s="233" t="str">
        <f t="shared" si="17"/>
        <v xml:space="preserve"> </v>
      </c>
      <c r="AO40" s="92"/>
      <c r="AP40" s="91"/>
      <c r="AQ40" s="91"/>
      <c r="AR40" s="91"/>
      <c r="AS40" s="91"/>
      <c r="AT40" s="287" t="str">
        <f t="shared" si="18"/>
        <v xml:space="preserve"> </v>
      </c>
      <c r="AU40" s="288" t="str">
        <f t="shared" si="19"/>
        <v xml:space="preserve"> </v>
      </c>
      <c r="AV40" s="92"/>
      <c r="AW40" s="91"/>
      <c r="AX40" s="91"/>
      <c r="AY40" s="91"/>
      <c r="AZ40" s="91"/>
      <c r="BA40" s="292" t="str">
        <f t="shared" si="20"/>
        <v xml:space="preserve"> </v>
      </c>
      <c r="BB40" s="92"/>
      <c r="BC40" s="91"/>
      <c r="BD40" s="91"/>
      <c r="BE40" s="91"/>
      <c r="BF40" s="91"/>
      <c r="BG40" s="297" t="str">
        <f t="shared" si="21"/>
        <v xml:space="preserve"> </v>
      </c>
      <c r="BH40" s="298" t="str">
        <f t="shared" si="22"/>
        <v xml:space="preserve"> </v>
      </c>
      <c r="BI40" s="292" t="str">
        <f t="shared" si="23"/>
        <v xml:space="preserve"> </v>
      </c>
      <c r="BJ40" s="258">
        <v>35</v>
      </c>
      <c r="BK40" s="94"/>
      <c r="BL40" s="103"/>
      <c r="BM40" s="93"/>
      <c r="BN40" s="230"/>
      <c r="BO40" s="301"/>
      <c r="BP40" s="96"/>
      <c r="BQ40" s="302"/>
    </row>
    <row r="41" spans="1:77" ht="16.5" customHeight="1" x14ac:dyDescent="0.3">
      <c r="A41" s="256">
        <v>36</v>
      </c>
      <c r="B41" s="89"/>
      <c r="C41" s="349"/>
      <c r="D41" s="90"/>
      <c r="E41" s="134"/>
      <c r="F41" s="230" t="str">
        <f t="shared" si="14"/>
        <v xml:space="preserve"> </v>
      </c>
      <c r="G41" s="71"/>
      <c r="H41" s="72"/>
      <c r="I41" s="72"/>
      <c r="J41" s="72"/>
      <c r="K41" s="72"/>
      <c r="L41" s="72"/>
      <c r="M41" s="72"/>
      <c r="N41" s="68"/>
      <c r="O41" s="72"/>
      <c r="P41" s="73"/>
      <c r="Q41" s="257"/>
      <c r="R41" s="265" t="str">
        <f>IF(ISBLANK(D41)," ",SUM(G41:P41)*R5/Q5)</f>
        <v xml:space="preserve"> </v>
      </c>
      <c r="S41" s="357">
        <v>0</v>
      </c>
      <c r="T41" s="266">
        <f t="shared" si="15"/>
        <v>0</v>
      </c>
      <c r="U41" s="71"/>
      <c r="V41" s="72"/>
      <c r="W41" s="72"/>
      <c r="X41" s="72"/>
      <c r="Y41" s="72"/>
      <c r="Z41" s="72"/>
      <c r="AA41" s="72"/>
      <c r="AB41" s="72"/>
      <c r="AC41" s="72"/>
      <c r="AD41" s="73"/>
      <c r="AE41" s="257"/>
      <c r="AF41" s="270" t="str">
        <f>IF(ISBLANK(D41)," ",SUM(U41:AD41)*AF5/AE5)</f>
        <v xml:space="preserve"> </v>
      </c>
      <c r="AG41" s="357">
        <v>0</v>
      </c>
      <c r="AH41" s="266">
        <f t="shared" si="12"/>
        <v>0</v>
      </c>
      <c r="AI41" s="276">
        <f t="shared" si="10"/>
        <v>0</v>
      </c>
      <c r="AJ41" s="277">
        <f t="shared" si="13"/>
        <v>0</v>
      </c>
      <c r="AK41" s="278" t="str">
        <f t="shared" si="24"/>
        <v xml:space="preserve"> </v>
      </c>
      <c r="AL41" s="279" t="str">
        <f t="shared" si="16"/>
        <v xml:space="preserve"> </v>
      </c>
      <c r="AM41" s="74"/>
      <c r="AN41" s="233" t="str">
        <f t="shared" si="17"/>
        <v xml:space="preserve"> </v>
      </c>
      <c r="AO41" s="92"/>
      <c r="AP41" s="91"/>
      <c r="AQ41" s="91"/>
      <c r="AR41" s="91"/>
      <c r="AS41" s="91"/>
      <c r="AT41" s="287" t="str">
        <f t="shared" si="18"/>
        <v xml:space="preserve"> </v>
      </c>
      <c r="AU41" s="288" t="str">
        <f t="shared" si="19"/>
        <v xml:space="preserve"> </v>
      </c>
      <c r="AV41" s="92"/>
      <c r="AW41" s="91"/>
      <c r="AX41" s="91"/>
      <c r="AY41" s="91"/>
      <c r="AZ41" s="91"/>
      <c r="BA41" s="292" t="str">
        <f t="shared" si="20"/>
        <v xml:space="preserve"> </v>
      </c>
      <c r="BB41" s="92"/>
      <c r="BC41" s="91"/>
      <c r="BD41" s="91"/>
      <c r="BE41" s="91"/>
      <c r="BF41" s="91"/>
      <c r="BG41" s="297" t="str">
        <f t="shared" si="21"/>
        <v xml:space="preserve"> </v>
      </c>
      <c r="BH41" s="298" t="str">
        <f t="shared" si="22"/>
        <v xml:space="preserve"> </v>
      </c>
      <c r="BI41" s="292" t="str">
        <f t="shared" si="23"/>
        <v xml:space="preserve"> </v>
      </c>
      <c r="BJ41" s="258">
        <v>36</v>
      </c>
      <c r="BK41" s="94"/>
      <c r="BL41" s="103"/>
      <c r="BM41" s="93"/>
      <c r="BN41" s="230"/>
      <c r="BO41" s="301"/>
      <c r="BP41" s="96"/>
      <c r="BQ41" s="302"/>
    </row>
    <row r="42" spans="1:77" ht="16.5" customHeight="1" x14ac:dyDescent="0.3">
      <c r="A42" s="256">
        <v>37</v>
      </c>
      <c r="B42" s="89"/>
      <c r="C42" s="349"/>
      <c r="D42" s="90"/>
      <c r="E42" s="134"/>
      <c r="F42" s="230" t="str">
        <f t="shared" si="14"/>
        <v xml:space="preserve"> </v>
      </c>
      <c r="G42" s="71"/>
      <c r="H42" s="72"/>
      <c r="I42" s="72"/>
      <c r="J42" s="72"/>
      <c r="K42" s="72"/>
      <c r="L42" s="72"/>
      <c r="M42" s="72"/>
      <c r="N42" s="68"/>
      <c r="O42" s="72"/>
      <c r="P42" s="73"/>
      <c r="Q42" s="257"/>
      <c r="R42" s="265" t="str">
        <f>IF(ISBLANK(D42)," ",SUM(G42:P42)*R5/Q5)</f>
        <v xml:space="preserve"> </v>
      </c>
      <c r="S42" s="357">
        <v>0</v>
      </c>
      <c r="T42" s="266">
        <f t="shared" si="15"/>
        <v>0</v>
      </c>
      <c r="U42" s="71"/>
      <c r="V42" s="72"/>
      <c r="W42" s="72"/>
      <c r="X42" s="72"/>
      <c r="Y42" s="72"/>
      <c r="Z42" s="72"/>
      <c r="AA42" s="72"/>
      <c r="AB42" s="72"/>
      <c r="AC42" s="72"/>
      <c r="AD42" s="73"/>
      <c r="AE42" s="257"/>
      <c r="AF42" s="270" t="str">
        <f>IF(ISBLANK(D42)," ",SUM(U42:AD42)*AF5/AE5)</f>
        <v xml:space="preserve"> </v>
      </c>
      <c r="AG42" s="357">
        <v>0</v>
      </c>
      <c r="AH42" s="266">
        <f t="shared" si="12"/>
        <v>0</v>
      </c>
      <c r="AI42" s="276">
        <f t="shared" si="10"/>
        <v>0</v>
      </c>
      <c r="AJ42" s="277">
        <f t="shared" si="13"/>
        <v>0</v>
      </c>
      <c r="AK42" s="278" t="str">
        <f t="shared" si="24"/>
        <v xml:space="preserve"> </v>
      </c>
      <c r="AL42" s="279" t="str">
        <f t="shared" si="16"/>
        <v xml:space="preserve"> </v>
      </c>
      <c r="AM42" s="74"/>
      <c r="AN42" s="233" t="str">
        <f t="shared" si="17"/>
        <v xml:space="preserve"> </v>
      </c>
      <c r="AO42" s="92"/>
      <c r="AP42" s="91"/>
      <c r="AQ42" s="91"/>
      <c r="AR42" s="91"/>
      <c r="AS42" s="91"/>
      <c r="AT42" s="287" t="str">
        <f t="shared" si="18"/>
        <v xml:space="preserve"> </v>
      </c>
      <c r="AU42" s="288" t="str">
        <f t="shared" si="19"/>
        <v xml:space="preserve"> </v>
      </c>
      <c r="AV42" s="92"/>
      <c r="AW42" s="91"/>
      <c r="AX42" s="91"/>
      <c r="AY42" s="91"/>
      <c r="AZ42" s="91"/>
      <c r="BA42" s="292" t="str">
        <f t="shared" si="20"/>
        <v xml:space="preserve"> </v>
      </c>
      <c r="BB42" s="92"/>
      <c r="BC42" s="91"/>
      <c r="BD42" s="91"/>
      <c r="BE42" s="91"/>
      <c r="BF42" s="91"/>
      <c r="BG42" s="297" t="str">
        <f t="shared" si="21"/>
        <v xml:space="preserve"> </v>
      </c>
      <c r="BH42" s="298" t="str">
        <f t="shared" si="22"/>
        <v xml:space="preserve"> </v>
      </c>
      <c r="BI42" s="292" t="str">
        <f t="shared" si="23"/>
        <v xml:space="preserve"> </v>
      </c>
      <c r="BJ42" s="258">
        <v>37</v>
      </c>
      <c r="BK42" s="94"/>
      <c r="BL42" s="103"/>
      <c r="BM42" s="93"/>
      <c r="BN42" s="230"/>
      <c r="BO42" s="301"/>
      <c r="BP42" s="96"/>
      <c r="BQ42" s="302"/>
    </row>
    <row r="43" spans="1:77" ht="16.5" customHeight="1" x14ac:dyDescent="0.3">
      <c r="A43" s="256">
        <v>38</v>
      </c>
      <c r="B43" s="89"/>
      <c r="C43" s="349"/>
      <c r="D43" s="90"/>
      <c r="E43" s="134"/>
      <c r="F43" s="230" t="str">
        <f t="shared" si="14"/>
        <v xml:space="preserve"> </v>
      </c>
      <c r="G43" s="71"/>
      <c r="H43" s="72"/>
      <c r="I43" s="72"/>
      <c r="J43" s="72"/>
      <c r="K43" s="72"/>
      <c r="L43" s="72"/>
      <c r="M43" s="72"/>
      <c r="N43" s="68"/>
      <c r="O43" s="72"/>
      <c r="P43" s="73"/>
      <c r="Q43" s="257"/>
      <c r="R43" s="265" t="str">
        <f>IF(ISBLANK(D43)," ",SUM(G43:P43)*R5/Q5)</f>
        <v xml:space="preserve"> </v>
      </c>
      <c r="S43" s="357">
        <v>0</v>
      </c>
      <c r="T43" s="266">
        <f t="shared" si="15"/>
        <v>0</v>
      </c>
      <c r="U43" s="71"/>
      <c r="V43" s="72"/>
      <c r="W43" s="72"/>
      <c r="X43" s="72"/>
      <c r="Y43" s="72"/>
      <c r="Z43" s="72"/>
      <c r="AA43" s="72"/>
      <c r="AB43" s="72"/>
      <c r="AC43" s="72"/>
      <c r="AD43" s="73"/>
      <c r="AE43" s="257"/>
      <c r="AF43" s="270" t="str">
        <f>IF(ISBLANK(D43)," ",SUM(U43:AD43)*AF5/AE5)</f>
        <v xml:space="preserve"> </v>
      </c>
      <c r="AG43" s="357">
        <v>0</v>
      </c>
      <c r="AH43" s="266">
        <f t="shared" si="12"/>
        <v>0</v>
      </c>
      <c r="AI43" s="276">
        <f t="shared" si="10"/>
        <v>0</v>
      </c>
      <c r="AJ43" s="277">
        <f t="shared" si="13"/>
        <v>0</v>
      </c>
      <c r="AK43" s="278" t="str">
        <f t="shared" si="24"/>
        <v xml:space="preserve"> </v>
      </c>
      <c r="AL43" s="279" t="str">
        <f t="shared" si="16"/>
        <v xml:space="preserve"> </v>
      </c>
      <c r="AM43" s="74"/>
      <c r="AN43" s="233" t="str">
        <f t="shared" si="17"/>
        <v xml:space="preserve"> </v>
      </c>
      <c r="AO43" s="154"/>
      <c r="AP43" s="91"/>
      <c r="AQ43" s="91"/>
      <c r="AR43" s="91"/>
      <c r="AS43" s="91"/>
      <c r="AT43" s="287" t="str">
        <f t="shared" si="18"/>
        <v xml:space="preserve"> </v>
      </c>
      <c r="AU43" s="288" t="str">
        <f t="shared" si="19"/>
        <v xml:space="preserve"> </v>
      </c>
      <c r="AV43" s="92"/>
      <c r="AW43" s="91"/>
      <c r="AX43" s="91"/>
      <c r="AY43" s="91"/>
      <c r="AZ43" s="91"/>
      <c r="BA43" s="292" t="str">
        <f t="shared" si="20"/>
        <v xml:space="preserve"> </v>
      </c>
      <c r="BB43" s="92"/>
      <c r="BC43" s="91"/>
      <c r="BD43" s="91"/>
      <c r="BE43" s="91"/>
      <c r="BF43" s="91"/>
      <c r="BG43" s="297" t="str">
        <f t="shared" si="21"/>
        <v xml:space="preserve"> </v>
      </c>
      <c r="BH43" s="298" t="str">
        <f t="shared" si="22"/>
        <v xml:space="preserve"> </v>
      </c>
      <c r="BI43" s="292" t="str">
        <f t="shared" si="23"/>
        <v xml:space="preserve"> </v>
      </c>
      <c r="BJ43" s="258">
        <v>38</v>
      </c>
      <c r="BK43" s="94"/>
      <c r="BL43" s="103"/>
      <c r="BM43" s="93"/>
      <c r="BN43" s="230"/>
      <c r="BO43" s="301"/>
      <c r="BP43" s="96"/>
      <c r="BQ43" s="302"/>
    </row>
    <row r="44" spans="1:77" ht="16.5" customHeight="1" x14ac:dyDescent="0.3">
      <c r="A44" s="256">
        <v>39</v>
      </c>
      <c r="B44" s="89"/>
      <c r="C44" s="349"/>
      <c r="D44" s="90"/>
      <c r="E44" s="134"/>
      <c r="F44" s="230" t="str">
        <f t="shared" si="14"/>
        <v xml:space="preserve"> </v>
      </c>
      <c r="G44" s="71"/>
      <c r="H44" s="72"/>
      <c r="I44" s="72"/>
      <c r="J44" s="72"/>
      <c r="K44" s="72"/>
      <c r="L44" s="72"/>
      <c r="M44" s="72"/>
      <c r="N44" s="72"/>
      <c r="O44" s="72"/>
      <c r="P44" s="73"/>
      <c r="Q44" s="257"/>
      <c r="R44" s="265" t="str">
        <f>IF(ISBLANK(D44)," ",SUM(G44:P44)*R5/Q5)</f>
        <v xml:space="preserve"> </v>
      </c>
      <c r="S44" s="357"/>
      <c r="T44" s="266" t="str">
        <f t="shared" si="15"/>
        <v xml:space="preserve"> </v>
      </c>
      <c r="U44" s="71"/>
      <c r="V44" s="72"/>
      <c r="W44" s="72"/>
      <c r="X44" s="72"/>
      <c r="Y44" s="72"/>
      <c r="Z44" s="72"/>
      <c r="AA44" s="72"/>
      <c r="AB44" s="72"/>
      <c r="AC44" s="72"/>
      <c r="AD44" s="73"/>
      <c r="AE44" s="257"/>
      <c r="AF44" s="270" t="str">
        <f>IF(ISBLANK(D44)," ",SUM(U44:AD44)*AF5/AE5)</f>
        <v xml:space="preserve"> </v>
      </c>
      <c r="AG44" s="357"/>
      <c r="AH44" s="266" t="str">
        <f t="shared" si="12"/>
        <v xml:space="preserve"> </v>
      </c>
      <c r="AI44" s="276" t="str">
        <f t="shared" si="10"/>
        <v xml:space="preserve"> </v>
      </c>
      <c r="AJ44" s="277" t="str">
        <f t="shared" si="13"/>
        <v xml:space="preserve"> </v>
      </c>
      <c r="AK44" s="278" t="str">
        <f t="shared" si="24"/>
        <v xml:space="preserve"> </v>
      </c>
      <c r="AL44" s="279" t="str">
        <f t="shared" si="16"/>
        <v xml:space="preserve"> </v>
      </c>
      <c r="AM44" s="74"/>
      <c r="AN44" s="233" t="str">
        <f t="shared" si="17"/>
        <v xml:space="preserve"> </v>
      </c>
      <c r="AO44" s="154"/>
      <c r="AP44" s="91"/>
      <c r="AQ44" s="91"/>
      <c r="AR44" s="91"/>
      <c r="AS44" s="91"/>
      <c r="AT44" s="287" t="str">
        <f t="shared" si="18"/>
        <v xml:space="preserve"> </v>
      </c>
      <c r="AU44" s="288" t="str">
        <f t="shared" si="19"/>
        <v xml:space="preserve"> </v>
      </c>
      <c r="AV44" s="92"/>
      <c r="AW44" s="91"/>
      <c r="AX44" s="91"/>
      <c r="AY44" s="91"/>
      <c r="AZ44" s="91"/>
      <c r="BA44" s="292" t="str">
        <f t="shared" si="20"/>
        <v xml:space="preserve"> </v>
      </c>
      <c r="BB44" s="92"/>
      <c r="BC44" s="91"/>
      <c r="BD44" s="91"/>
      <c r="BE44" s="91"/>
      <c r="BF44" s="91"/>
      <c r="BG44" s="297" t="str">
        <f t="shared" si="21"/>
        <v xml:space="preserve"> </v>
      </c>
      <c r="BH44" s="298" t="str">
        <f t="shared" si="22"/>
        <v xml:space="preserve"> </v>
      </c>
      <c r="BI44" s="292" t="str">
        <f t="shared" si="23"/>
        <v xml:space="preserve"> </v>
      </c>
      <c r="BJ44" s="258">
        <v>39</v>
      </c>
      <c r="BK44" s="94"/>
      <c r="BL44" s="103"/>
      <c r="BM44" s="93"/>
      <c r="BN44" s="230"/>
      <c r="BO44" s="301"/>
      <c r="BP44" s="96"/>
      <c r="BQ44" s="302"/>
    </row>
    <row r="45" spans="1:77" ht="16.5" customHeight="1" x14ac:dyDescent="0.3">
      <c r="A45" s="256">
        <v>40</v>
      </c>
      <c r="B45" s="89"/>
      <c r="C45" s="349"/>
      <c r="D45" s="90"/>
      <c r="E45" s="134"/>
      <c r="F45" s="230" t="str">
        <f t="shared" si="14"/>
        <v xml:space="preserve"> </v>
      </c>
      <c r="G45" s="71"/>
      <c r="H45" s="72"/>
      <c r="I45" s="72"/>
      <c r="J45" s="72"/>
      <c r="K45" s="72"/>
      <c r="L45" s="72"/>
      <c r="M45" s="72"/>
      <c r="N45" s="72"/>
      <c r="O45" s="72"/>
      <c r="P45" s="73"/>
      <c r="Q45" s="257"/>
      <c r="R45" s="265" t="str">
        <f>IF(ISBLANK(D45)," ",SUM(G45:P45)*R5/Q5)</f>
        <v xml:space="preserve"> </v>
      </c>
      <c r="S45" s="357"/>
      <c r="T45" s="266" t="str">
        <f t="shared" si="15"/>
        <v xml:space="preserve"> </v>
      </c>
      <c r="U45" s="71"/>
      <c r="V45" s="72"/>
      <c r="W45" s="72"/>
      <c r="X45" s="72"/>
      <c r="Y45" s="72"/>
      <c r="Z45" s="72"/>
      <c r="AA45" s="72"/>
      <c r="AB45" s="72"/>
      <c r="AC45" s="72"/>
      <c r="AD45" s="73"/>
      <c r="AE45" s="257"/>
      <c r="AF45" s="270" t="str">
        <f>IF(ISBLANK(D45)," ",SUM(U45:AD45)*AF5/AE5)</f>
        <v xml:space="preserve"> </v>
      </c>
      <c r="AG45" s="357"/>
      <c r="AH45" s="266" t="str">
        <f t="shared" si="12"/>
        <v xml:space="preserve"> </v>
      </c>
      <c r="AI45" s="276" t="str">
        <f t="shared" si="10"/>
        <v xml:space="preserve"> </v>
      </c>
      <c r="AJ45" s="277" t="str">
        <f t="shared" si="13"/>
        <v xml:space="preserve"> </v>
      </c>
      <c r="AK45" s="278" t="str">
        <f t="shared" si="24"/>
        <v xml:space="preserve"> </v>
      </c>
      <c r="AL45" s="279" t="str">
        <f t="shared" si="16"/>
        <v xml:space="preserve"> </v>
      </c>
      <c r="AM45" s="74"/>
      <c r="AN45" s="233" t="str">
        <f t="shared" si="17"/>
        <v xml:space="preserve"> </v>
      </c>
      <c r="AO45" s="154"/>
      <c r="AP45" s="91"/>
      <c r="AQ45" s="91"/>
      <c r="AR45" s="91"/>
      <c r="AS45" s="91"/>
      <c r="AT45" s="287" t="str">
        <f t="shared" si="18"/>
        <v xml:space="preserve"> </v>
      </c>
      <c r="AU45" s="288" t="str">
        <f t="shared" si="19"/>
        <v xml:space="preserve"> </v>
      </c>
      <c r="AV45" s="92"/>
      <c r="AW45" s="91"/>
      <c r="AX45" s="91"/>
      <c r="AY45" s="91"/>
      <c r="AZ45" s="91"/>
      <c r="BA45" s="292" t="str">
        <f t="shared" si="20"/>
        <v xml:space="preserve"> </v>
      </c>
      <c r="BB45" s="92"/>
      <c r="BC45" s="91"/>
      <c r="BD45" s="91"/>
      <c r="BE45" s="91"/>
      <c r="BF45" s="91"/>
      <c r="BG45" s="297" t="str">
        <f t="shared" si="21"/>
        <v xml:space="preserve"> </v>
      </c>
      <c r="BH45" s="298" t="str">
        <f t="shared" si="22"/>
        <v xml:space="preserve"> </v>
      </c>
      <c r="BI45" s="292" t="str">
        <f t="shared" si="23"/>
        <v xml:space="preserve"> </v>
      </c>
      <c r="BJ45" s="258">
        <v>40</v>
      </c>
      <c r="BK45" s="94"/>
      <c r="BL45" s="103"/>
      <c r="BM45" s="93"/>
      <c r="BN45" s="230"/>
      <c r="BO45" s="301"/>
      <c r="BP45" s="96"/>
      <c r="BQ45" s="302"/>
    </row>
    <row r="46" spans="1:77" ht="16.5" customHeight="1" x14ac:dyDescent="0.3">
      <c r="A46" s="256">
        <v>41</v>
      </c>
      <c r="B46" s="89"/>
      <c r="C46" s="349"/>
      <c r="D46" s="90"/>
      <c r="E46" s="134"/>
      <c r="F46" s="230" t="str">
        <f t="shared" si="14"/>
        <v xml:space="preserve"> </v>
      </c>
      <c r="G46" s="71"/>
      <c r="H46" s="72"/>
      <c r="I46" s="72"/>
      <c r="J46" s="72"/>
      <c r="K46" s="72"/>
      <c r="L46" s="72"/>
      <c r="M46" s="72"/>
      <c r="N46" s="72"/>
      <c r="O46" s="72"/>
      <c r="P46" s="73"/>
      <c r="Q46" s="257"/>
      <c r="R46" s="265" t="str">
        <f>IF(ISBLANK(D46)," ",SUM(G46:P46)*R5/Q5)</f>
        <v xml:space="preserve"> </v>
      </c>
      <c r="S46" s="357"/>
      <c r="T46" s="266" t="str">
        <f t="shared" si="15"/>
        <v xml:space="preserve"> </v>
      </c>
      <c r="U46" s="71"/>
      <c r="V46" s="72"/>
      <c r="W46" s="72"/>
      <c r="X46" s="72"/>
      <c r="Y46" s="72"/>
      <c r="Z46" s="72"/>
      <c r="AA46" s="72"/>
      <c r="AB46" s="72"/>
      <c r="AC46" s="72"/>
      <c r="AD46" s="73"/>
      <c r="AE46" s="257"/>
      <c r="AF46" s="270" t="str">
        <f>IF(ISBLANK(D46)," ",SUM(U46:AD46)*AF5/AE5)</f>
        <v xml:space="preserve"> </v>
      </c>
      <c r="AG46" s="357"/>
      <c r="AH46" s="266" t="str">
        <f t="shared" si="12"/>
        <v xml:space="preserve"> </v>
      </c>
      <c r="AI46" s="276" t="str">
        <f t="shared" si="10"/>
        <v xml:space="preserve"> </v>
      </c>
      <c r="AJ46" s="277" t="str">
        <f t="shared" si="13"/>
        <v xml:space="preserve"> </v>
      </c>
      <c r="AK46" s="278" t="str">
        <f t="shared" si="24"/>
        <v xml:space="preserve"> </v>
      </c>
      <c r="AL46" s="279" t="str">
        <f t="shared" si="16"/>
        <v xml:space="preserve"> </v>
      </c>
      <c r="AM46" s="74"/>
      <c r="AN46" s="233" t="str">
        <f t="shared" si="17"/>
        <v xml:space="preserve"> </v>
      </c>
      <c r="AO46" s="154"/>
      <c r="AP46" s="91"/>
      <c r="AQ46" s="91"/>
      <c r="AR46" s="91"/>
      <c r="AS46" s="91"/>
      <c r="AT46" s="287" t="str">
        <f t="shared" si="18"/>
        <v xml:space="preserve"> </v>
      </c>
      <c r="AU46" s="288" t="str">
        <f t="shared" si="19"/>
        <v xml:space="preserve"> </v>
      </c>
      <c r="AV46" s="92"/>
      <c r="AW46" s="91"/>
      <c r="AX46" s="91"/>
      <c r="AY46" s="91"/>
      <c r="AZ46" s="91"/>
      <c r="BA46" s="292" t="str">
        <f t="shared" si="20"/>
        <v xml:space="preserve"> </v>
      </c>
      <c r="BB46" s="92"/>
      <c r="BC46" s="91"/>
      <c r="BD46" s="91"/>
      <c r="BE46" s="91"/>
      <c r="BF46" s="91"/>
      <c r="BG46" s="297" t="str">
        <f t="shared" si="21"/>
        <v xml:space="preserve"> </v>
      </c>
      <c r="BH46" s="298" t="str">
        <f t="shared" si="22"/>
        <v xml:space="preserve"> </v>
      </c>
      <c r="BI46" s="292" t="str">
        <f t="shared" si="23"/>
        <v xml:space="preserve"> </v>
      </c>
      <c r="BJ46" s="258">
        <v>41</v>
      </c>
      <c r="BK46" s="94"/>
      <c r="BL46" s="103"/>
      <c r="BM46" s="93"/>
      <c r="BN46" s="230"/>
      <c r="BO46" s="301"/>
      <c r="BP46" s="96"/>
      <c r="BQ46" s="302"/>
    </row>
    <row r="47" spans="1:77" ht="16.5" customHeight="1" x14ac:dyDescent="0.3">
      <c r="A47" s="256">
        <v>42</v>
      </c>
      <c r="B47" s="89"/>
      <c r="C47" s="349"/>
      <c r="D47" s="90"/>
      <c r="E47" s="134"/>
      <c r="F47" s="230" t="str">
        <f t="shared" si="14"/>
        <v xml:space="preserve"> </v>
      </c>
      <c r="G47" s="71"/>
      <c r="H47" s="72"/>
      <c r="I47" s="72"/>
      <c r="J47" s="72"/>
      <c r="K47" s="72"/>
      <c r="L47" s="72"/>
      <c r="M47" s="72"/>
      <c r="N47" s="72"/>
      <c r="O47" s="72"/>
      <c r="P47" s="73"/>
      <c r="Q47" s="257"/>
      <c r="R47" s="265" t="str">
        <f>IF(ISBLANK(D47)," ",SUM(G47:P47)*R5/Q5)</f>
        <v xml:space="preserve"> </v>
      </c>
      <c r="S47" s="357"/>
      <c r="T47" s="266" t="str">
        <f t="shared" si="15"/>
        <v xml:space="preserve"> </v>
      </c>
      <c r="U47" s="71"/>
      <c r="V47" s="72"/>
      <c r="W47" s="72"/>
      <c r="X47" s="72"/>
      <c r="Y47" s="72"/>
      <c r="Z47" s="72"/>
      <c r="AA47" s="72"/>
      <c r="AB47" s="72"/>
      <c r="AC47" s="72"/>
      <c r="AD47" s="73"/>
      <c r="AE47" s="257"/>
      <c r="AF47" s="270" t="str">
        <f>IF(ISBLANK(D47)," ",SUM(U47:AD47)*AF5/AE5)</f>
        <v xml:space="preserve"> </v>
      </c>
      <c r="AG47" s="357"/>
      <c r="AH47" s="266" t="str">
        <f t="shared" si="12"/>
        <v xml:space="preserve"> </v>
      </c>
      <c r="AI47" s="276" t="str">
        <f t="shared" si="10"/>
        <v xml:space="preserve"> </v>
      </c>
      <c r="AJ47" s="277" t="str">
        <f t="shared" si="13"/>
        <v xml:space="preserve"> </v>
      </c>
      <c r="AK47" s="278" t="str">
        <f t="shared" si="24"/>
        <v xml:space="preserve"> </v>
      </c>
      <c r="AL47" s="279" t="str">
        <f t="shared" si="16"/>
        <v xml:space="preserve"> </v>
      </c>
      <c r="AM47" s="74"/>
      <c r="AN47" s="233" t="str">
        <f t="shared" si="17"/>
        <v xml:space="preserve"> </v>
      </c>
      <c r="AO47" s="154"/>
      <c r="AP47" s="91"/>
      <c r="AQ47" s="91"/>
      <c r="AR47" s="91"/>
      <c r="AS47" s="91"/>
      <c r="AT47" s="287" t="str">
        <f t="shared" si="18"/>
        <v xml:space="preserve"> </v>
      </c>
      <c r="AU47" s="288" t="str">
        <f t="shared" si="19"/>
        <v xml:space="preserve"> </v>
      </c>
      <c r="AV47" s="92"/>
      <c r="AW47" s="91"/>
      <c r="AX47" s="91"/>
      <c r="AY47" s="91"/>
      <c r="AZ47" s="91"/>
      <c r="BA47" s="292" t="str">
        <f t="shared" si="20"/>
        <v xml:space="preserve"> </v>
      </c>
      <c r="BB47" s="92"/>
      <c r="BC47" s="91"/>
      <c r="BD47" s="91"/>
      <c r="BE47" s="91"/>
      <c r="BF47" s="91"/>
      <c r="BG47" s="297" t="str">
        <f t="shared" si="21"/>
        <v xml:space="preserve"> </v>
      </c>
      <c r="BH47" s="298" t="str">
        <f t="shared" si="22"/>
        <v xml:space="preserve"> </v>
      </c>
      <c r="BI47" s="292" t="str">
        <f t="shared" si="23"/>
        <v xml:space="preserve"> </v>
      </c>
      <c r="BJ47" s="258">
        <v>42</v>
      </c>
      <c r="BK47" s="94"/>
      <c r="BL47" s="103"/>
      <c r="BM47" s="93"/>
      <c r="BN47" s="230"/>
      <c r="BO47" s="301"/>
      <c r="BP47" s="96"/>
      <c r="BQ47" s="302"/>
    </row>
    <row r="48" spans="1:77" ht="16.5" customHeight="1" x14ac:dyDescent="0.3">
      <c r="A48" s="256">
        <v>43</v>
      </c>
      <c r="B48" s="89"/>
      <c r="C48" s="349"/>
      <c r="D48" s="90"/>
      <c r="E48" s="134"/>
      <c r="F48" s="230" t="str">
        <f t="shared" si="14"/>
        <v xml:space="preserve"> </v>
      </c>
      <c r="G48" s="71"/>
      <c r="H48" s="72"/>
      <c r="I48" s="72"/>
      <c r="J48" s="72"/>
      <c r="K48" s="72"/>
      <c r="L48" s="72"/>
      <c r="M48" s="72"/>
      <c r="N48" s="72"/>
      <c r="O48" s="72"/>
      <c r="P48" s="73"/>
      <c r="Q48" s="257"/>
      <c r="R48" s="265" t="str">
        <f>IF(ISBLANK(D48)," ",SUM(G48:P48)*R5/Q5)</f>
        <v xml:space="preserve"> </v>
      </c>
      <c r="S48" s="357"/>
      <c r="T48" s="266" t="str">
        <f t="shared" si="15"/>
        <v xml:space="preserve"> </v>
      </c>
      <c r="U48" s="71"/>
      <c r="V48" s="72"/>
      <c r="W48" s="72"/>
      <c r="X48" s="72"/>
      <c r="Y48" s="72"/>
      <c r="Z48" s="72"/>
      <c r="AA48" s="72"/>
      <c r="AB48" s="72"/>
      <c r="AC48" s="72"/>
      <c r="AD48" s="73"/>
      <c r="AE48" s="257"/>
      <c r="AF48" s="270" t="str">
        <f>IF(ISBLANK(D48)," ",SUM(U48:AD48)*AF5/AE5)</f>
        <v xml:space="preserve"> </v>
      </c>
      <c r="AG48" s="357"/>
      <c r="AH48" s="266" t="str">
        <f t="shared" si="12"/>
        <v xml:space="preserve"> </v>
      </c>
      <c r="AI48" s="276" t="str">
        <f t="shared" si="10"/>
        <v xml:space="preserve"> </v>
      </c>
      <c r="AJ48" s="277" t="str">
        <f t="shared" si="13"/>
        <v xml:space="preserve"> </v>
      </c>
      <c r="AK48" s="278" t="str">
        <f t="shared" si="24"/>
        <v xml:space="preserve"> </v>
      </c>
      <c r="AL48" s="279" t="str">
        <f t="shared" si="16"/>
        <v xml:space="preserve"> </v>
      </c>
      <c r="AM48" s="74"/>
      <c r="AN48" s="233" t="str">
        <f t="shared" si="17"/>
        <v xml:space="preserve"> </v>
      </c>
      <c r="AO48" s="154"/>
      <c r="AP48" s="91"/>
      <c r="AQ48" s="91"/>
      <c r="AR48" s="91"/>
      <c r="AS48" s="91"/>
      <c r="AT48" s="287" t="str">
        <f t="shared" si="18"/>
        <v xml:space="preserve"> </v>
      </c>
      <c r="AU48" s="288" t="str">
        <f t="shared" si="19"/>
        <v xml:space="preserve"> </v>
      </c>
      <c r="AV48" s="92"/>
      <c r="AW48" s="91"/>
      <c r="AX48" s="91"/>
      <c r="AY48" s="91"/>
      <c r="AZ48" s="91"/>
      <c r="BA48" s="292" t="str">
        <f t="shared" si="20"/>
        <v xml:space="preserve"> </v>
      </c>
      <c r="BB48" s="92"/>
      <c r="BC48" s="91"/>
      <c r="BD48" s="91"/>
      <c r="BE48" s="91"/>
      <c r="BF48" s="91"/>
      <c r="BG48" s="297" t="str">
        <f t="shared" si="21"/>
        <v xml:space="preserve"> </v>
      </c>
      <c r="BH48" s="298" t="str">
        <f t="shared" si="22"/>
        <v xml:space="preserve"> </v>
      </c>
      <c r="BI48" s="292" t="str">
        <f t="shared" si="23"/>
        <v xml:space="preserve"> </v>
      </c>
      <c r="BJ48" s="258">
        <v>43</v>
      </c>
      <c r="BK48" s="94"/>
      <c r="BL48" s="103"/>
      <c r="BM48" s="93"/>
      <c r="BN48" s="230"/>
      <c r="BO48" s="301"/>
      <c r="BP48" s="96"/>
      <c r="BQ48" s="302"/>
    </row>
    <row r="49" spans="1:69" ht="16.5" customHeight="1" x14ac:dyDescent="0.3">
      <c r="A49" s="256">
        <v>44</v>
      </c>
      <c r="B49" s="89"/>
      <c r="C49" s="349"/>
      <c r="D49" s="90"/>
      <c r="E49" s="134"/>
      <c r="F49" s="230" t="str">
        <f t="shared" si="14"/>
        <v xml:space="preserve"> </v>
      </c>
      <c r="G49" s="71"/>
      <c r="H49" s="72"/>
      <c r="I49" s="72"/>
      <c r="J49" s="72"/>
      <c r="K49" s="72"/>
      <c r="L49" s="72"/>
      <c r="M49" s="72"/>
      <c r="N49" s="72"/>
      <c r="O49" s="72"/>
      <c r="P49" s="73"/>
      <c r="Q49" s="257"/>
      <c r="R49" s="265" t="str">
        <f>IF(ISBLANK(D49)," ",SUM(G49:P49)*R5/Q5)</f>
        <v xml:space="preserve"> </v>
      </c>
      <c r="S49" s="357"/>
      <c r="T49" s="266" t="str">
        <f t="shared" si="15"/>
        <v xml:space="preserve"> </v>
      </c>
      <c r="U49" s="71"/>
      <c r="V49" s="72"/>
      <c r="W49" s="72"/>
      <c r="X49" s="72"/>
      <c r="Y49" s="72"/>
      <c r="Z49" s="72"/>
      <c r="AA49" s="72"/>
      <c r="AB49" s="72"/>
      <c r="AC49" s="72"/>
      <c r="AD49" s="73"/>
      <c r="AE49" s="257"/>
      <c r="AF49" s="270" t="str">
        <f>IF(ISBLANK(D49)," ",SUM(U49:AD49)*AF5/AE5)</f>
        <v xml:space="preserve"> </v>
      </c>
      <c r="AG49" s="357"/>
      <c r="AH49" s="266" t="str">
        <f t="shared" si="12"/>
        <v xml:space="preserve"> </v>
      </c>
      <c r="AI49" s="276" t="str">
        <f t="shared" si="10"/>
        <v xml:space="preserve"> </v>
      </c>
      <c r="AJ49" s="277" t="str">
        <f t="shared" si="13"/>
        <v xml:space="preserve"> </v>
      </c>
      <c r="AK49" s="278" t="str">
        <f t="shared" si="24"/>
        <v xml:space="preserve"> </v>
      </c>
      <c r="AL49" s="279" t="str">
        <f t="shared" si="16"/>
        <v xml:space="preserve"> </v>
      </c>
      <c r="AM49" s="74"/>
      <c r="AN49" s="233" t="str">
        <f t="shared" si="17"/>
        <v xml:space="preserve"> </v>
      </c>
      <c r="AO49" s="154"/>
      <c r="AP49" s="91"/>
      <c r="AQ49" s="91"/>
      <c r="AR49" s="91"/>
      <c r="AS49" s="91"/>
      <c r="AT49" s="287" t="str">
        <f t="shared" si="18"/>
        <v xml:space="preserve"> </v>
      </c>
      <c r="AU49" s="288" t="str">
        <f t="shared" si="19"/>
        <v xml:space="preserve"> </v>
      </c>
      <c r="AV49" s="92"/>
      <c r="AW49" s="91"/>
      <c r="AX49" s="91"/>
      <c r="AY49" s="91"/>
      <c r="AZ49" s="91"/>
      <c r="BA49" s="292" t="str">
        <f t="shared" si="20"/>
        <v xml:space="preserve"> </v>
      </c>
      <c r="BB49" s="92"/>
      <c r="BC49" s="91"/>
      <c r="BD49" s="91"/>
      <c r="BE49" s="91"/>
      <c r="BF49" s="91"/>
      <c r="BG49" s="297" t="str">
        <f t="shared" si="21"/>
        <v xml:space="preserve"> </v>
      </c>
      <c r="BH49" s="298" t="str">
        <f t="shared" si="22"/>
        <v xml:space="preserve"> </v>
      </c>
      <c r="BI49" s="292" t="str">
        <f t="shared" si="23"/>
        <v xml:space="preserve"> </v>
      </c>
      <c r="BJ49" s="258">
        <v>44</v>
      </c>
      <c r="BK49" s="94"/>
      <c r="BL49" s="103"/>
      <c r="BM49" s="93"/>
      <c r="BN49" s="230"/>
      <c r="BO49" s="301"/>
      <c r="BP49" s="96"/>
      <c r="BQ49" s="302"/>
    </row>
    <row r="50" spans="1:69" ht="16.5" customHeight="1" x14ac:dyDescent="0.3">
      <c r="A50" s="256">
        <v>45</v>
      </c>
      <c r="B50" s="89"/>
      <c r="C50" s="349"/>
      <c r="D50" s="90"/>
      <c r="E50" s="134"/>
      <c r="F50" s="230" t="str">
        <f t="shared" si="14"/>
        <v xml:space="preserve"> </v>
      </c>
      <c r="G50" s="71"/>
      <c r="H50" s="72"/>
      <c r="I50" s="72"/>
      <c r="J50" s="72"/>
      <c r="K50" s="72"/>
      <c r="L50" s="72"/>
      <c r="M50" s="72"/>
      <c r="N50" s="72"/>
      <c r="O50" s="72"/>
      <c r="P50" s="73"/>
      <c r="Q50" s="257"/>
      <c r="R50" s="265" t="str">
        <f>IF(ISBLANK(D50)," ",SUM(G50:P50)*R5/Q5)</f>
        <v xml:space="preserve"> </v>
      </c>
      <c r="S50" s="357"/>
      <c r="T50" s="266" t="str">
        <f t="shared" si="15"/>
        <v xml:space="preserve"> </v>
      </c>
      <c r="U50" s="71"/>
      <c r="V50" s="72"/>
      <c r="W50" s="72"/>
      <c r="X50" s="72"/>
      <c r="Y50" s="72"/>
      <c r="Z50" s="72"/>
      <c r="AA50" s="72"/>
      <c r="AB50" s="72"/>
      <c r="AC50" s="72"/>
      <c r="AD50" s="73"/>
      <c r="AE50" s="257"/>
      <c r="AF50" s="270" t="str">
        <f>IF(ISBLANK(D50)," ",SUM(U50:AD50)*AF5/AE5)</f>
        <v xml:space="preserve"> </v>
      </c>
      <c r="AG50" s="357"/>
      <c r="AH50" s="266" t="str">
        <f t="shared" si="12"/>
        <v xml:space="preserve"> </v>
      </c>
      <c r="AI50" s="276" t="str">
        <f t="shared" si="10"/>
        <v xml:space="preserve"> </v>
      </c>
      <c r="AJ50" s="277" t="str">
        <f t="shared" si="13"/>
        <v xml:space="preserve"> </v>
      </c>
      <c r="AK50" s="278" t="str">
        <f t="shared" si="24"/>
        <v xml:space="preserve"> </v>
      </c>
      <c r="AL50" s="279" t="str">
        <f t="shared" si="16"/>
        <v xml:space="preserve"> </v>
      </c>
      <c r="AM50" s="74"/>
      <c r="AN50" s="233" t="str">
        <f t="shared" si="17"/>
        <v xml:space="preserve"> </v>
      </c>
      <c r="AO50" s="154"/>
      <c r="AP50" s="91"/>
      <c r="AQ50" s="91"/>
      <c r="AR50" s="91"/>
      <c r="AS50" s="91"/>
      <c r="AT50" s="287" t="str">
        <f t="shared" si="18"/>
        <v xml:space="preserve"> </v>
      </c>
      <c r="AU50" s="288" t="str">
        <f t="shared" si="19"/>
        <v xml:space="preserve"> </v>
      </c>
      <c r="AV50" s="92"/>
      <c r="AW50" s="91"/>
      <c r="AX50" s="91"/>
      <c r="AY50" s="91"/>
      <c r="AZ50" s="91"/>
      <c r="BA50" s="292" t="str">
        <f t="shared" si="20"/>
        <v xml:space="preserve"> </v>
      </c>
      <c r="BB50" s="92"/>
      <c r="BC50" s="91"/>
      <c r="BD50" s="91"/>
      <c r="BE50" s="91"/>
      <c r="BF50" s="91"/>
      <c r="BG50" s="297" t="str">
        <f t="shared" si="21"/>
        <v xml:space="preserve"> </v>
      </c>
      <c r="BH50" s="298" t="str">
        <f t="shared" si="22"/>
        <v xml:space="preserve"> </v>
      </c>
      <c r="BI50" s="292" t="str">
        <f t="shared" si="23"/>
        <v xml:space="preserve"> </v>
      </c>
      <c r="BJ50" s="258">
        <v>45</v>
      </c>
      <c r="BK50" s="94"/>
      <c r="BL50" s="103"/>
      <c r="BM50" s="93"/>
      <c r="BN50" s="230"/>
      <c r="BO50" s="301"/>
      <c r="BP50" s="96"/>
      <c r="BQ50" s="302"/>
    </row>
    <row r="51" spans="1:69" ht="16.5" customHeight="1" x14ac:dyDescent="0.3">
      <c r="A51" s="256">
        <v>46</v>
      </c>
      <c r="B51" s="89"/>
      <c r="C51" s="349"/>
      <c r="D51" s="90"/>
      <c r="E51" s="134"/>
      <c r="F51" s="230" t="str">
        <f t="shared" si="14"/>
        <v xml:space="preserve"> </v>
      </c>
      <c r="G51" s="71"/>
      <c r="H51" s="72"/>
      <c r="I51" s="72"/>
      <c r="J51" s="72"/>
      <c r="K51" s="72"/>
      <c r="L51" s="72"/>
      <c r="M51" s="72"/>
      <c r="N51" s="72"/>
      <c r="O51" s="72"/>
      <c r="P51" s="73"/>
      <c r="Q51" s="257"/>
      <c r="R51" s="265" t="str">
        <f>IF(ISBLANK(D51)," ",SUM(G51:P51)*R5/Q5)</f>
        <v xml:space="preserve"> </v>
      </c>
      <c r="S51" s="357"/>
      <c r="T51" s="266" t="str">
        <f t="shared" si="15"/>
        <v xml:space="preserve"> </v>
      </c>
      <c r="U51" s="71"/>
      <c r="V51" s="72"/>
      <c r="W51" s="72"/>
      <c r="X51" s="72"/>
      <c r="Y51" s="72"/>
      <c r="Z51" s="72"/>
      <c r="AA51" s="72"/>
      <c r="AB51" s="72"/>
      <c r="AC51" s="72"/>
      <c r="AD51" s="73"/>
      <c r="AE51" s="257"/>
      <c r="AF51" s="270" t="str">
        <f>IF(ISBLANK(D51)," ",SUM(U51:AD51)*AF5/AE5)</f>
        <v xml:space="preserve"> </v>
      </c>
      <c r="AG51" s="357"/>
      <c r="AH51" s="266" t="str">
        <f t="shared" si="12"/>
        <v xml:space="preserve"> </v>
      </c>
      <c r="AI51" s="276" t="str">
        <f t="shared" si="10"/>
        <v xml:space="preserve"> </v>
      </c>
      <c r="AJ51" s="277" t="str">
        <f t="shared" si="13"/>
        <v xml:space="preserve"> </v>
      </c>
      <c r="AK51" s="278" t="str">
        <f t="shared" si="24"/>
        <v xml:space="preserve"> </v>
      </c>
      <c r="AL51" s="279" t="str">
        <f t="shared" si="16"/>
        <v xml:space="preserve"> </v>
      </c>
      <c r="AM51" s="74"/>
      <c r="AN51" s="233" t="str">
        <f t="shared" si="17"/>
        <v xml:space="preserve"> </v>
      </c>
      <c r="AO51" s="154"/>
      <c r="AP51" s="91"/>
      <c r="AQ51" s="91"/>
      <c r="AR51" s="91"/>
      <c r="AS51" s="91"/>
      <c r="AT51" s="287" t="str">
        <f t="shared" si="18"/>
        <v xml:space="preserve"> </v>
      </c>
      <c r="AU51" s="288" t="str">
        <f t="shared" si="19"/>
        <v xml:space="preserve"> </v>
      </c>
      <c r="AV51" s="92"/>
      <c r="AW51" s="91"/>
      <c r="AX51" s="91"/>
      <c r="AY51" s="91"/>
      <c r="AZ51" s="91"/>
      <c r="BA51" s="292" t="str">
        <f t="shared" si="20"/>
        <v xml:space="preserve"> </v>
      </c>
      <c r="BB51" s="92"/>
      <c r="BC51" s="91"/>
      <c r="BD51" s="91"/>
      <c r="BE51" s="91"/>
      <c r="BF51" s="91"/>
      <c r="BG51" s="297" t="str">
        <f t="shared" si="21"/>
        <v xml:space="preserve"> </v>
      </c>
      <c r="BH51" s="298" t="str">
        <f t="shared" si="22"/>
        <v xml:space="preserve"> </v>
      </c>
      <c r="BI51" s="292" t="str">
        <f t="shared" si="23"/>
        <v xml:space="preserve"> </v>
      </c>
      <c r="BJ51" s="258">
        <v>46</v>
      </c>
      <c r="BK51" s="94"/>
      <c r="BL51" s="103"/>
      <c r="BM51" s="93"/>
      <c r="BN51" s="230"/>
      <c r="BO51" s="301"/>
      <c r="BP51" s="96"/>
      <c r="BQ51" s="302"/>
    </row>
    <row r="52" spans="1:69" ht="16.5" customHeight="1" x14ac:dyDescent="0.3">
      <c r="A52" s="256">
        <v>47</v>
      </c>
      <c r="B52" s="89"/>
      <c r="C52" s="349"/>
      <c r="D52" s="90"/>
      <c r="E52" s="134"/>
      <c r="F52" s="230" t="str">
        <f t="shared" si="14"/>
        <v xml:space="preserve"> </v>
      </c>
      <c r="G52" s="71"/>
      <c r="H52" s="72"/>
      <c r="I52" s="72"/>
      <c r="J52" s="72"/>
      <c r="K52" s="72"/>
      <c r="L52" s="72"/>
      <c r="M52" s="72"/>
      <c r="N52" s="72"/>
      <c r="O52" s="72"/>
      <c r="P52" s="73"/>
      <c r="Q52" s="257"/>
      <c r="R52" s="265" t="str">
        <f>IF(ISBLANK(D52)," ",SUM(G52:P52)*R5/Q5)</f>
        <v xml:space="preserve"> </v>
      </c>
      <c r="S52" s="357"/>
      <c r="T52" s="266" t="str">
        <f t="shared" si="15"/>
        <v xml:space="preserve"> </v>
      </c>
      <c r="U52" s="71"/>
      <c r="V52" s="72"/>
      <c r="W52" s="72"/>
      <c r="X52" s="72"/>
      <c r="Y52" s="72"/>
      <c r="Z52" s="72"/>
      <c r="AA52" s="72"/>
      <c r="AB52" s="72"/>
      <c r="AC52" s="72"/>
      <c r="AD52" s="73"/>
      <c r="AE52" s="257"/>
      <c r="AF52" s="270" t="str">
        <f>IF(ISBLANK(D52)," ",SUM(U52:AD52)*AF5/AE5)</f>
        <v xml:space="preserve"> </v>
      </c>
      <c r="AG52" s="357"/>
      <c r="AH52" s="266" t="str">
        <f t="shared" si="12"/>
        <v xml:space="preserve"> </v>
      </c>
      <c r="AI52" s="276" t="str">
        <f t="shared" si="10"/>
        <v xml:space="preserve"> </v>
      </c>
      <c r="AJ52" s="277" t="str">
        <f t="shared" si="13"/>
        <v xml:space="preserve"> </v>
      </c>
      <c r="AK52" s="278" t="str">
        <f t="shared" si="24"/>
        <v xml:space="preserve"> </v>
      </c>
      <c r="AL52" s="279" t="str">
        <f t="shared" si="16"/>
        <v xml:space="preserve"> </v>
      </c>
      <c r="AM52" s="74"/>
      <c r="AN52" s="233" t="str">
        <f t="shared" si="17"/>
        <v xml:space="preserve"> </v>
      </c>
      <c r="AO52" s="154"/>
      <c r="AP52" s="91"/>
      <c r="AQ52" s="91"/>
      <c r="AR52" s="91"/>
      <c r="AS52" s="91"/>
      <c r="AT52" s="287" t="str">
        <f t="shared" si="18"/>
        <v xml:space="preserve"> </v>
      </c>
      <c r="AU52" s="288" t="str">
        <f t="shared" si="19"/>
        <v xml:space="preserve"> </v>
      </c>
      <c r="AV52" s="92"/>
      <c r="AW52" s="91"/>
      <c r="AX52" s="91"/>
      <c r="AY52" s="91"/>
      <c r="AZ52" s="91"/>
      <c r="BA52" s="292" t="str">
        <f t="shared" si="20"/>
        <v xml:space="preserve"> </v>
      </c>
      <c r="BB52" s="92"/>
      <c r="BC52" s="91"/>
      <c r="BD52" s="91"/>
      <c r="BE52" s="91"/>
      <c r="BF52" s="91"/>
      <c r="BG52" s="297" t="str">
        <f t="shared" si="21"/>
        <v xml:space="preserve"> </v>
      </c>
      <c r="BH52" s="298" t="str">
        <f t="shared" si="22"/>
        <v xml:space="preserve"> </v>
      </c>
      <c r="BI52" s="292" t="str">
        <f t="shared" si="23"/>
        <v xml:space="preserve"> </v>
      </c>
      <c r="BJ52" s="258">
        <v>47</v>
      </c>
      <c r="BK52" s="94"/>
      <c r="BL52" s="103"/>
      <c r="BM52" s="93"/>
      <c r="BN52" s="230"/>
      <c r="BO52" s="301"/>
      <c r="BP52" s="96"/>
      <c r="BQ52" s="302"/>
    </row>
    <row r="53" spans="1:69" ht="16.5" customHeight="1" x14ac:dyDescent="0.3">
      <c r="A53" s="256">
        <v>48</v>
      </c>
      <c r="B53" s="89"/>
      <c r="C53" s="349"/>
      <c r="D53" s="90"/>
      <c r="E53" s="134"/>
      <c r="F53" s="230" t="str">
        <f t="shared" si="14"/>
        <v xml:space="preserve"> </v>
      </c>
      <c r="G53" s="71"/>
      <c r="H53" s="72"/>
      <c r="I53" s="72"/>
      <c r="J53" s="72"/>
      <c r="K53" s="72"/>
      <c r="L53" s="72"/>
      <c r="M53" s="72"/>
      <c r="N53" s="72"/>
      <c r="O53" s="72"/>
      <c r="P53" s="73"/>
      <c r="Q53" s="257"/>
      <c r="R53" s="265" t="str">
        <f>IF(ISBLANK(D53)," ",SUM(G53:P53)*R5/Q5)</f>
        <v xml:space="preserve"> </v>
      </c>
      <c r="S53" s="357"/>
      <c r="T53" s="266" t="str">
        <f t="shared" si="15"/>
        <v xml:space="preserve"> </v>
      </c>
      <c r="U53" s="71"/>
      <c r="V53" s="72"/>
      <c r="W53" s="72"/>
      <c r="X53" s="72"/>
      <c r="Y53" s="72"/>
      <c r="Z53" s="72"/>
      <c r="AA53" s="72"/>
      <c r="AB53" s="72"/>
      <c r="AC53" s="72"/>
      <c r="AD53" s="73"/>
      <c r="AE53" s="257"/>
      <c r="AF53" s="270" t="str">
        <f>IF(ISBLANK(D53)," ",SUM(U53:AD53)*AF5/AE5)</f>
        <v xml:space="preserve"> </v>
      </c>
      <c r="AG53" s="357"/>
      <c r="AH53" s="266" t="str">
        <f t="shared" si="12"/>
        <v xml:space="preserve"> </v>
      </c>
      <c r="AI53" s="276" t="str">
        <f t="shared" si="10"/>
        <v xml:space="preserve"> </v>
      </c>
      <c r="AJ53" s="277" t="str">
        <f t="shared" si="13"/>
        <v xml:space="preserve"> </v>
      </c>
      <c r="AK53" s="278" t="str">
        <f t="shared" si="24"/>
        <v xml:space="preserve"> </v>
      </c>
      <c r="AL53" s="279" t="str">
        <f t="shared" si="16"/>
        <v xml:space="preserve"> </v>
      </c>
      <c r="AM53" s="74"/>
      <c r="AN53" s="233" t="str">
        <f t="shared" si="17"/>
        <v xml:space="preserve"> </v>
      </c>
      <c r="AO53" s="154"/>
      <c r="AP53" s="91"/>
      <c r="AQ53" s="91"/>
      <c r="AR53" s="91"/>
      <c r="AS53" s="91"/>
      <c r="AT53" s="287" t="str">
        <f t="shared" si="18"/>
        <v xml:space="preserve"> </v>
      </c>
      <c r="AU53" s="288" t="str">
        <f t="shared" si="19"/>
        <v xml:space="preserve"> </v>
      </c>
      <c r="AV53" s="92"/>
      <c r="AW53" s="91"/>
      <c r="AX53" s="91"/>
      <c r="AY53" s="91"/>
      <c r="AZ53" s="91"/>
      <c r="BA53" s="292" t="str">
        <f t="shared" si="20"/>
        <v xml:space="preserve"> </v>
      </c>
      <c r="BB53" s="92"/>
      <c r="BC53" s="91"/>
      <c r="BD53" s="91"/>
      <c r="BE53" s="91"/>
      <c r="BF53" s="91"/>
      <c r="BG53" s="297" t="str">
        <f t="shared" si="21"/>
        <v xml:space="preserve"> </v>
      </c>
      <c r="BH53" s="298" t="str">
        <f t="shared" si="22"/>
        <v xml:space="preserve"> </v>
      </c>
      <c r="BI53" s="292" t="str">
        <f t="shared" si="23"/>
        <v xml:space="preserve"> </v>
      </c>
      <c r="BJ53" s="258">
        <v>48</v>
      </c>
      <c r="BK53" s="94"/>
      <c r="BL53" s="103"/>
      <c r="BM53" s="93"/>
      <c r="BN53" s="230"/>
      <c r="BO53" s="301"/>
      <c r="BP53" s="96"/>
      <c r="BQ53" s="302"/>
    </row>
    <row r="54" spans="1:69" ht="16.5" customHeight="1" x14ac:dyDescent="0.3">
      <c r="A54" s="256">
        <v>49</v>
      </c>
      <c r="B54" s="89"/>
      <c r="C54" s="349"/>
      <c r="D54" s="90"/>
      <c r="E54" s="134"/>
      <c r="F54" s="230" t="str">
        <f t="shared" si="14"/>
        <v xml:space="preserve"> </v>
      </c>
      <c r="G54" s="71"/>
      <c r="H54" s="72"/>
      <c r="I54" s="72"/>
      <c r="J54" s="72"/>
      <c r="K54" s="72"/>
      <c r="L54" s="72"/>
      <c r="M54" s="72"/>
      <c r="N54" s="72"/>
      <c r="O54" s="72"/>
      <c r="P54" s="73"/>
      <c r="Q54" s="257"/>
      <c r="R54" s="265" t="str">
        <f>IF(ISBLANK(D54)," ",SUM(G54:P54)*R5/Q5)</f>
        <v xml:space="preserve"> </v>
      </c>
      <c r="S54" s="357"/>
      <c r="T54" s="266" t="str">
        <f t="shared" si="15"/>
        <v xml:space="preserve"> </v>
      </c>
      <c r="U54" s="71"/>
      <c r="V54" s="72"/>
      <c r="W54" s="72"/>
      <c r="X54" s="72"/>
      <c r="Y54" s="72"/>
      <c r="Z54" s="72"/>
      <c r="AA54" s="72"/>
      <c r="AB54" s="72"/>
      <c r="AC54" s="72"/>
      <c r="AD54" s="73"/>
      <c r="AE54" s="257"/>
      <c r="AF54" s="270" t="str">
        <f>IF(ISBLANK(D54)," ",SUM(U54:AD54)*AF5/AE5)</f>
        <v xml:space="preserve"> </v>
      </c>
      <c r="AG54" s="357"/>
      <c r="AH54" s="266" t="str">
        <f t="shared" si="12"/>
        <v xml:space="preserve"> </v>
      </c>
      <c r="AI54" s="276" t="str">
        <f t="shared" si="10"/>
        <v xml:space="preserve"> </v>
      </c>
      <c r="AJ54" s="277" t="str">
        <f t="shared" si="13"/>
        <v xml:space="preserve"> </v>
      </c>
      <c r="AK54" s="278" t="str">
        <f t="shared" si="24"/>
        <v xml:space="preserve"> </v>
      </c>
      <c r="AL54" s="279" t="str">
        <f t="shared" si="16"/>
        <v xml:space="preserve"> </v>
      </c>
      <c r="AM54" s="74"/>
      <c r="AN54" s="233" t="str">
        <f t="shared" si="17"/>
        <v xml:space="preserve"> </v>
      </c>
      <c r="AO54" s="154"/>
      <c r="AP54" s="91"/>
      <c r="AQ54" s="91"/>
      <c r="AR54" s="91"/>
      <c r="AS54" s="91"/>
      <c r="AT54" s="287" t="str">
        <f t="shared" si="18"/>
        <v xml:space="preserve"> </v>
      </c>
      <c r="AU54" s="288" t="str">
        <f t="shared" si="19"/>
        <v xml:space="preserve"> </v>
      </c>
      <c r="AV54" s="92"/>
      <c r="AW54" s="91"/>
      <c r="AX54" s="91"/>
      <c r="AY54" s="91"/>
      <c r="AZ54" s="91"/>
      <c r="BA54" s="292" t="str">
        <f t="shared" si="20"/>
        <v xml:space="preserve"> </v>
      </c>
      <c r="BB54" s="92"/>
      <c r="BC54" s="91"/>
      <c r="BD54" s="91"/>
      <c r="BE54" s="91"/>
      <c r="BF54" s="91"/>
      <c r="BG54" s="297" t="str">
        <f t="shared" si="21"/>
        <v xml:space="preserve"> </v>
      </c>
      <c r="BH54" s="298" t="str">
        <f t="shared" si="22"/>
        <v xml:space="preserve"> </v>
      </c>
      <c r="BI54" s="292" t="str">
        <f t="shared" si="23"/>
        <v xml:space="preserve"> </v>
      </c>
      <c r="BJ54" s="258">
        <v>49</v>
      </c>
      <c r="BK54" s="94"/>
      <c r="BL54" s="103"/>
      <c r="BM54" s="93"/>
      <c r="BN54" s="230"/>
      <c r="BO54" s="301"/>
      <c r="BP54" s="96"/>
      <c r="BQ54" s="302"/>
    </row>
    <row r="55" spans="1:69" ht="16.5" customHeight="1" thickBot="1" x14ac:dyDescent="0.35">
      <c r="A55" s="259">
        <v>50</v>
      </c>
      <c r="B55" s="104"/>
      <c r="C55" s="350"/>
      <c r="D55" s="105"/>
      <c r="E55" s="151"/>
      <c r="F55" s="231" t="str">
        <f t="shared" si="14"/>
        <v xml:space="preserve"> </v>
      </c>
      <c r="G55" s="75"/>
      <c r="H55" s="76"/>
      <c r="I55" s="76"/>
      <c r="J55" s="76"/>
      <c r="K55" s="76"/>
      <c r="L55" s="76"/>
      <c r="M55" s="76"/>
      <c r="N55" s="76"/>
      <c r="O55" s="76"/>
      <c r="P55" s="77"/>
      <c r="Q55" s="260"/>
      <c r="R55" s="267" t="str">
        <f>IF(ISBLANK(D55)," ",SUM(G55:P55)*R5/Q5)</f>
        <v xml:space="preserve"> </v>
      </c>
      <c r="S55" s="358"/>
      <c r="T55" s="268" t="str">
        <f t="shared" si="15"/>
        <v xml:space="preserve"> </v>
      </c>
      <c r="U55" s="75"/>
      <c r="V55" s="76"/>
      <c r="W55" s="76"/>
      <c r="X55" s="76"/>
      <c r="Y55" s="76"/>
      <c r="Z55" s="76"/>
      <c r="AA55" s="76"/>
      <c r="AB55" s="76"/>
      <c r="AC55" s="76"/>
      <c r="AD55" s="77"/>
      <c r="AE55" s="261"/>
      <c r="AF55" s="271" t="str">
        <f>IF(ISBLANK(D55)," ",SUM(U55:AD55)*AF5/AE5)</f>
        <v xml:space="preserve"> </v>
      </c>
      <c r="AG55" s="358"/>
      <c r="AH55" s="268" t="str">
        <f>IF(ISBLANK(AG55)," ",SUM(AF55:AG55))</f>
        <v xml:space="preserve"> </v>
      </c>
      <c r="AI55" s="281" t="str">
        <f t="shared" si="10"/>
        <v xml:space="preserve"> </v>
      </c>
      <c r="AJ55" s="282" t="str">
        <f t="shared" si="13"/>
        <v xml:space="preserve"> </v>
      </c>
      <c r="AK55" s="283" t="str">
        <f t="shared" si="24"/>
        <v xml:space="preserve"> </v>
      </c>
      <c r="AL55" s="284" t="str">
        <f t="shared" si="16"/>
        <v xml:space="preserve"> </v>
      </c>
      <c r="AM55" s="78"/>
      <c r="AN55" s="234" t="str">
        <f t="shared" si="17"/>
        <v xml:space="preserve"> </v>
      </c>
      <c r="AO55" s="155"/>
      <c r="AP55" s="106"/>
      <c r="AQ55" s="106"/>
      <c r="AR55" s="106"/>
      <c r="AS55" s="106"/>
      <c r="AT55" s="289" t="str">
        <f t="shared" si="18"/>
        <v xml:space="preserve"> </v>
      </c>
      <c r="AU55" s="290" t="str">
        <f t="shared" si="19"/>
        <v xml:space="preserve"> </v>
      </c>
      <c r="AV55" s="107"/>
      <c r="AW55" s="106"/>
      <c r="AX55" s="106"/>
      <c r="AY55" s="106"/>
      <c r="AZ55" s="106"/>
      <c r="BA55" s="293" t="str">
        <f t="shared" si="20"/>
        <v xml:space="preserve"> </v>
      </c>
      <c r="BB55" s="107"/>
      <c r="BC55" s="106"/>
      <c r="BD55" s="106"/>
      <c r="BE55" s="106"/>
      <c r="BF55" s="106"/>
      <c r="BG55" s="299" t="str">
        <f t="shared" si="21"/>
        <v xml:space="preserve"> </v>
      </c>
      <c r="BH55" s="300" t="str">
        <f t="shared" si="22"/>
        <v xml:space="preserve"> </v>
      </c>
      <c r="BI55" s="293" t="str">
        <f t="shared" si="23"/>
        <v xml:space="preserve"> </v>
      </c>
      <c r="BJ55" s="262">
        <v>50</v>
      </c>
      <c r="BK55" s="109"/>
      <c r="BL55" s="110"/>
      <c r="BM55" s="108"/>
      <c r="BN55" s="231"/>
      <c r="BO55" s="158"/>
      <c r="BP55" s="111"/>
      <c r="BQ55" s="112"/>
    </row>
    <row r="56" spans="1:69" x14ac:dyDescent="0.2">
      <c r="A56" s="80"/>
      <c r="B56" s="80"/>
      <c r="C56" s="113"/>
      <c r="D56" s="114"/>
      <c r="E56" s="114"/>
    </row>
    <row r="57" spans="1:69" x14ac:dyDescent="0.2">
      <c r="A57" s="80"/>
      <c r="B57" s="80"/>
      <c r="C57" s="113"/>
      <c r="D57" s="114"/>
      <c r="E57" s="114"/>
    </row>
    <row r="58" spans="1:69" x14ac:dyDescent="0.2">
      <c r="A58" s="98"/>
      <c r="B58" s="98"/>
      <c r="C58" s="98"/>
      <c r="D58" s="98"/>
      <c r="E58" s="98"/>
    </row>
    <row r="59" spans="1:69" x14ac:dyDescent="0.2">
      <c r="A59" s="98"/>
      <c r="B59" s="98"/>
      <c r="C59" s="98"/>
      <c r="D59" s="98"/>
      <c r="E59" s="98"/>
    </row>
    <row r="60" spans="1:69" x14ac:dyDescent="0.2">
      <c r="A60" s="98"/>
      <c r="B60" s="98"/>
      <c r="C60" s="98"/>
      <c r="D60" s="98"/>
      <c r="E60" s="98"/>
    </row>
    <row r="61" spans="1:69" x14ac:dyDescent="0.2">
      <c r="A61" s="98"/>
      <c r="B61" s="98"/>
      <c r="C61" s="98"/>
      <c r="D61" s="98"/>
      <c r="E61" s="98"/>
    </row>
    <row r="62" spans="1:69" x14ac:dyDescent="0.2">
      <c r="A62" s="98"/>
      <c r="B62" s="98"/>
      <c r="C62" s="98"/>
      <c r="D62" s="98"/>
      <c r="E62" s="98"/>
    </row>
    <row r="63" spans="1:69" x14ac:dyDescent="0.2">
      <c r="A63" s="98"/>
      <c r="B63" s="98"/>
      <c r="C63" s="98"/>
      <c r="D63" s="98"/>
      <c r="E63" s="98"/>
    </row>
    <row r="64" spans="1:69" x14ac:dyDescent="0.2">
      <c r="A64" s="98"/>
      <c r="B64" s="98"/>
      <c r="C64" s="98"/>
      <c r="D64" s="98"/>
      <c r="E64" s="98"/>
    </row>
    <row r="65" spans="1:5" x14ac:dyDescent="0.2">
      <c r="A65" s="98"/>
      <c r="B65" s="98"/>
      <c r="C65" s="98"/>
      <c r="D65" s="98"/>
      <c r="E65" s="98"/>
    </row>
    <row r="66" spans="1:5" x14ac:dyDescent="0.2">
      <c r="A66" s="98"/>
      <c r="B66" s="98"/>
      <c r="C66" s="98"/>
      <c r="D66" s="98"/>
      <c r="E66" s="98"/>
    </row>
    <row r="67" spans="1:5" x14ac:dyDescent="0.2">
      <c r="A67" s="98"/>
      <c r="B67" s="98"/>
      <c r="C67" s="98"/>
      <c r="D67" s="98"/>
      <c r="E67" s="98"/>
    </row>
    <row r="68" spans="1:5" x14ac:dyDescent="0.2">
      <c r="A68" s="98"/>
      <c r="B68" s="98"/>
      <c r="C68" s="98"/>
      <c r="D68" s="98"/>
      <c r="E68" s="98"/>
    </row>
    <row r="69" spans="1:5" x14ac:dyDescent="0.2">
      <c r="A69" s="98"/>
      <c r="B69" s="98"/>
      <c r="C69" s="98"/>
      <c r="D69" s="98"/>
      <c r="E69" s="98"/>
    </row>
    <row r="70" spans="1:5" x14ac:dyDescent="0.2">
      <c r="A70" s="98"/>
      <c r="B70" s="98"/>
      <c r="C70" s="98"/>
      <c r="D70" s="98"/>
      <c r="E70" s="98"/>
    </row>
    <row r="71" spans="1:5" x14ac:dyDescent="0.2">
      <c r="A71" s="98"/>
      <c r="B71" s="98"/>
      <c r="C71" s="98"/>
      <c r="D71" s="98"/>
      <c r="E71" s="98"/>
    </row>
    <row r="72" spans="1:5" x14ac:dyDescent="0.2">
      <c r="A72" s="98"/>
      <c r="B72" s="98"/>
      <c r="C72" s="98"/>
      <c r="D72" s="98"/>
      <c r="E72" s="98"/>
    </row>
    <row r="73" spans="1:5" x14ac:dyDescent="0.2">
      <c r="A73" s="98"/>
      <c r="B73" s="98"/>
      <c r="C73" s="98"/>
      <c r="D73" s="98"/>
      <c r="E73" s="98"/>
    </row>
    <row r="74" spans="1:5" x14ac:dyDescent="0.2">
      <c r="A74" s="98"/>
      <c r="B74" s="98"/>
      <c r="C74" s="98"/>
      <c r="D74" s="98"/>
      <c r="E74" s="98"/>
    </row>
    <row r="75" spans="1:5" x14ac:dyDescent="0.2">
      <c r="A75" s="98"/>
      <c r="B75" s="98"/>
      <c r="C75" s="98"/>
      <c r="D75" s="98"/>
      <c r="E75" s="98"/>
    </row>
    <row r="76" spans="1:5" x14ac:dyDescent="0.2">
      <c r="A76" s="98"/>
      <c r="B76" s="98"/>
      <c r="C76" s="98"/>
      <c r="D76" s="98"/>
      <c r="E76" s="98"/>
    </row>
    <row r="77" spans="1:5" x14ac:dyDescent="0.2">
      <c r="A77" s="98"/>
      <c r="B77" s="98"/>
      <c r="C77" s="98"/>
      <c r="D77" s="98"/>
      <c r="E77" s="98"/>
    </row>
    <row r="78" spans="1:5" x14ac:dyDescent="0.2">
      <c r="A78" s="98"/>
      <c r="B78" s="98"/>
      <c r="C78" s="98"/>
      <c r="D78" s="98"/>
      <c r="E78" s="98"/>
    </row>
    <row r="79" spans="1:5" x14ac:dyDescent="0.2">
      <c r="A79" s="98"/>
      <c r="B79" s="98"/>
      <c r="C79" s="98"/>
      <c r="D79" s="98"/>
      <c r="E79" s="98"/>
    </row>
    <row r="80" spans="1:5" x14ac:dyDescent="0.2">
      <c r="A80" s="98"/>
      <c r="B80" s="98"/>
      <c r="C80" s="98"/>
      <c r="D80" s="98"/>
      <c r="E80" s="98"/>
    </row>
    <row r="81" spans="1:5" x14ac:dyDescent="0.2">
      <c r="A81" s="98"/>
      <c r="B81" s="98"/>
      <c r="C81" s="98"/>
      <c r="D81" s="98"/>
      <c r="E81" s="98"/>
    </row>
    <row r="82" spans="1:5" x14ac:dyDescent="0.2">
      <c r="A82" s="98"/>
      <c r="B82" s="98"/>
      <c r="C82" s="98"/>
      <c r="D82" s="98"/>
      <c r="E82" s="98"/>
    </row>
    <row r="83" spans="1:5" x14ac:dyDescent="0.2">
      <c r="A83" s="98"/>
      <c r="B83" s="98"/>
      <c r="C83" s="98"/>
      <c r="D83" s="98"/>
      <c r="E83" s="98"/>
    </row>
    <row r="84" spans="1:5" x14ac:dyDescent="0.2">
      <c r="A84" s="98"/>
      <c r="B84" s="98"/>
      <c r="C84" s="98"/>
      <c r="D84" s="98"/>
      <c r="E84" s="98"/>
    </row>
    <row r="85" spans="1:5" x14ac:dyDescent="0.2">
      <c r="A85" s="98"/>
      <c r="B85" s="98"/>
      <c r="C85" s="98"/>
      <c r="D85" s="98"/>
      <c r="E85" s="98"/>
    </row>
    <row r="86" spans="1:5" x14ac:dyDescent="0.2">
      <c r="A86" s="98"/>
      <c r="B86" s="98"/>
      <c r="C86" s="98"/>
      <c r="D86" s="98"/>
      <c r="E86" s="98"/>
    </row>
    <row r="87" spans="1:5" x14ac:dyDescent="0.2">
      <c r="A87" s="98"/>
      <c r="B87" s="98"/>
      <c r="C87" s="98"/>
      <c r="D87" s="98"/>
      <c r="E87" s="98"/>
    </row>
    <row r="88" spans="1:5" x14ac:dyDescent="0.2">
      <c r="A88" s="98"/>
      <c r="B88" s="98"/>
      <c r="C88" s="98"/>
      <c r="D88" s="98"/>
      <c r="E88" s="98"/>
    </row>
    <row r="89" spans="1:5" x14ac:dyDescent="0.2">
      <c r="A89" s="98"/>
      <c r="B89" s="98"/>
      <c r="C89" s="98"/>
      <c r="D89" s="98"/>
      <c r="E89" s="98"/>
    </row>
    <row r="90" spans="1:5" x14ac:dyDescent="0.2">
      <c r="A90" s="98"/>
      <c r="B90" s="98"/>
      <c r="C90" s="98"/>
      <c r="D90" s="98"/>
      <c r="E90" s="98"/>
    </row>
    <row r="91" spans="1:5" x14ac:dyDescent="0.2">
      <c r="A91" s="98"/>
      <c r="B91" s="98"/>
      <c r="C91" s="98"/>
      <c r="D91" s="98"/>
      <c r="E91" s="98"/>
    </row>
    <row r="92" spans="1:5" x14ac:dyDescent="0.2">
      <c r="A92" s="98"/>
      <c r="B92" s="98"/>
      <c r="C92" s="98"/>
      <c r="D92" s="98"/>
      <c r="E92" s="98"/>
    </row>
    <row r="93" spans="1:5" x14ac:dyDescent="0.2">
      <c r="A93" s="98"/>
      <c r="B93" s="98"/>
      <c r="C93" s="98"/>
      <c r="D93" s="98"/>
      <c r="E93" s="98"/>
    </row>
    <row r="94" spans="1:5" x14ac:dyDescent="0.2">
      <c r="A94" s="98"/>
      <c r="B94" s="98"/>
      <c r="C94" s="98"/>
      <c r="D94" s="98"/>
      <c r="E94" s="98"/>
    </row>
    <row r="95" spans="1:5" x14ac:dyDescent="0.2">
      <c r="A95" s="98"/>
      <c r="B95" s="98"/>
      <c r="C95" s="98"/>
      <c r="D95" s="98"/>
      <c r="E95" s="98"/>
    </row>
    <row r="96" spans="1:5" x14ac:dyDescent="0.2">
      <c r="A96" s="98"/>
      <c r="B96" s="98"/>
      <c r="C96" s="98"/>
      <c r="D96" s="98"/>
      <c r="E96" s="98"/>
    </row>
    <row r="97" spans="1:5" x14ac:dyDescent="0.2">
      <c r="A97" s="98"/>
      <c r="B97" s="98"/>
      <c r="C97" s="98"/>
      <c r="D97" s="98"/>
      <c r="E97" s="98"/>
    </row>
    <row r="98" spans="1:5" x14ac:dyDescent="0.2">
      <c r="A98" s="98"/>
      <c r="B98" s="98"/>
      <c r="C98" s="98"/>
      <c r="D98" s="98"/>
      <c r="E98" s="98"/>
    </row>
    <row r="99" spans="1:5" x14ac:dyDescent="0.2">
      <c r="A99" s="98"/>
      <c r="B99" s="98"/>
      <c r="C99" s="98"/>
      <c r="D99" s="98"/>
      <c r="E99" s="98"/>
    </row>
    <row r="100" spans="1:5" x14ac:dyDescent="0.2">
      <c r="A100" s="98"/>
      <c r="B100" s="98"/>
      <c r="C100" s="98"/>
      <c r="D100" s="98"/>
      <c r="E100" s="98"/>
    </row>
    <row r="101" spans="1:5" x14ac:dyDescent="0.2">
      <c r="A101" s="98"/>
      <c r="B101" s="98"/>
      <c r="C101" s="98"/>
      <c r="D101" s="98"/>
      <c r="E101" s="98"/>
    </row>
    <row r="102" spans="1:5" x14ac:dyDescent="0.2">
      <c r="A102" s="98"/>
      <c r="B102" s="98"/>
      <c r="C102" s="98"/>
      <c r="D102" s="98"/>
      <c r="E102" s="98"/>
    </row>
    <row r="103" spans="1:5" x14ac:dyDescent="0.2">
      <c r="A103" s="98"/>
      <c r="B103" s="98"/>
      <c r="C103" s="98"/>
      <c r="D103" s="98"/>
      <c r="E103" s="98"/>
    </row>
    <row r="104" spans="1:5" x14ac:dyDescent="0.2">
      <c r="A104" s="98"/>
      <c r="B104" s="98"/>
      <c r="C104" s="98"/>
      <c r="D104" s="98"/>
      <c r="E104" s="98"/>
    </row>
    <row r="105" spans="1:5" x14ac:dyDescent="0.2">
      <c r="A105" s="98"/>
      <c r="B105" s="98"/>
      <c r="C105" s="98"/>
      <c r="D105" s="98"/>
      <c r="E105" s="98"/>
    </row>
    <row r="106" spans="1:5" x14ac:dyDescent="0.2">
      <c r="A106" s="98"/>
      <c r="B106" s="98"/>
      <c r="C106" s="98"/>
      <c r="D106" s="98"/>
      <c r="E106" s="98"/>
    </row>
    <row r="107" spans="1:5" x14ac:dyDescent="0.2">
      <c r="A107" s="98"/>
      <c r="B107" s="98"/>
      <c r="C107" s="98"/>
      <c r="D107" s="98"/>
      <c r="E107" s="98"/>
    </row>
    <row r="108" spans="1:5" x14ac:dyDescent="0.2">
      <c r="A108" s="98"/>
      <c r="B108" s="98"/>
      <c r="C108" s="98"/>
      <c r="D108" s="98"/>
      <c r="E108" s="98"/>
    </row>
    <row r="109" spans="1:5" x14ac:dyDescent="0.2">
      <c r="A109" s="98"/>
      <c r="B109" s="98"/>
      <c r="C109" s="98"/>
      <c r="D109" s="98"/>
      <c r="E109" s="98"/>
    </row>
    <row r="110" spans="1:5" x14ac:dyDescent="0.2">
      <c r="A110" s="98"/>
      <c r="B110" s="98"/>
      <c r="C110" s="98"/>
      <c r="D110" s="98"/>
      <c r="E110" s="98"/>
    </row>
    <row r="111" spans="1:5" x14ac:dyDescent="0.2">
      <c r="A111" s="98"/>
      <c r="B111" s="98"/>
      <c r="C111" s="98"/>
      <c r="D111" s="98"/>
      <c r="E111" s="98"/>
    </row>
    <row r="112" spans="1:5" x14ac:dyDescent="0.2">
      <c r="A112" s="98"/>
      <c r="B112" s="98"/>
      <c r="C112" s="98"/>
      <c r="D112" s="98"/>
      <c r="E112" s="98"/>
    </row>
    <row r="113" spans="1:5" x14ac:dyDescent="0.2">
      <c r="A113" s="98"/>
      <c r="B113" s="98"/>
      <c r="C113" s="98"/>
      <c r="D113" s="98"/>
      <c r="E113" s="98"/>
    </row>
    <row r="114" spans="1:5" x14ac:dyDescent="0.2">
      <c r="A114" s="98"/>
      <c r="B114" s="98"/>
      <c r="C114" s="98"/>
      <c r="D114" s="98"/>
      <c r="E114" s="98"/>
    </row>
    <row r="115" spans="1:5" x14ac:dyDescent="0.2">
      <c r="A115" s="98"/>
      <c r="B115" s="98"/>
      <c r="C115" s="98"/>
      <c r="D115" s="98"/>
      <c r="E115" s="98"/>
    </row>
    <row r="116" spans="1:5" x14ac:dyDescent="0.2">
      <c r="A116" s="98"/>
      <c r="B116" s="98"/>
      <c r="C116" s="98"/>
      <c r="D116" s="98"/>
      <c r="E116" s="98"/>
    </row>
    <row r="117" spans="1:5" x14ac:dyDescent="0.2">
      <c r="A117" s="98"/>
      <c r="B117" s="98"/>
      <c r="C117" s="98"/>
      <c r="D117" s="98"/>
      <c r="E117" s="98"/>
    </row>
    <row r="118" spans="1:5" x14ac:dyDescent="0.2">
      <c r="A118" s="98"/>
      <c r="B118" s="98"/>
      <c r="C118" s="98"/>
      <c r="D118" s="98"/>
      <c r="E118" s="98"/>
    </row>
    <row r="119" spans="1:5" x14ac:dyDescent="0.2">
      <c r="A119" s="98"/>
      <c r="B119" s="98"/>
      <c r="C119" s="98"/>
      <c r="D119" s="98"/>
      <c r="E119" s="98"/>
    </row>
    <row r="120" spans="1:5" x14ac:dyDescent="0.2">
      <c r="A120" s="98"/>
      <c r="B120" s="98"/>
      <c r="C120" s="98"/>
      <c r="D120" s="98"/>
      <c r="E120" s="98"/>
    </row>
    <row r="121" spans="1:5" x14ac:dyDescent="0.2">
      <c r="A121" s="98"/>
      <c r="B121" s="98"/>
      <c r="C121" s="98"/>
      <c r="D121" s="98"/>
      <c r="E121" s="98"/>
    </row>
    <row r="122" spans="1:5" x14ac:dyDescent="0.2">
      <c r="A122" s="98"/>
      <c r="B122" s="98"/>
      <c r="C122" s="98"/>
      <c r="D122" s="98"/>
      <c r="E122" s="98"/>
    </row>
    <row r="123" spans="1:5" x14ac:dyDescent="0.2">
      <c r="A123" s="98"/>
      <c r="B123" s="98"/>
      <c r="C123" s="98"/>
      <c r="D123" s="98"/>
      <c r="E123" s="98"/>
    </row>
    <row r="124" spans="1:5" x14ac:dyDescent="0.2">
      <c r="A124" s="98"/>
      <c r="B124" s="98"/>
      <c r="C124" s="98"/>
      <c r="D124" s="98"/>
      <c r="E124" s="98"/>
    </row>
    <row r="125" spans="1:5" x14ac:dyDescent="0.2">
      <c r="A125" s="98"/>
      <c r="B125" s="98"/>
      <c r="C125" s="98"/>
      <c r="D125" s="98"/>
      <c r="E125" s="98"/>
    </row>
    <row r="126" spans="1:5" x14ac:dyDescent="0.2">
      <c r="A126" s="98"/>
      <c r="B126" s="98"/>
      <c r="C126" s="98"/>
      <c r="D126" s="98"/>
      <c r="E126" s="98"/>
    </row>
    <row r="127" spans="1:5" x14ac:dyDescent="0.2">
      <c r="A127" s="98"/>
      <c r="B127" s="98"/>
      <c r="C127" s="98"/>
      <c r="D127" s="98"/>
      <c r="E127" s="98"/>
    </row>
    <row r="128" spans="1:5" x14ac:dyDescent="0.2">
      <c r="A128" s="98"/>
      <c r="B128" s="98"/>
      <c r="C128" s="98"/>
      <c r="D128" s="98"/>
      <c r="E128" s="98"/>
    </row>
    <row r="129" spans="1:5" x14ac:dyDescent="0.2">
      <c r="A129" s="98"/>
      <c r="B129" s="98"/>
      <c r="C129" s="98"/>
      <c r="D129" s="98"/>
      <c r="E129" s="98"/>
    </row>
    <row r="130" spans="1:5" x14ac:dyDescent="0.2">
      <c r="A130" s="98"/>
      <c r="B130" s="98"/>
      <c r="C130" s="98"/>
      <c r="D130" s="98"/>
      <c r="E130" s="98"/>
    </row>
    <row r="131" spans="1:5" x14ac:dyDescent="0.2">
      <c r="A131" s="98"/>
      <c r="B131" s="98"/>
      <c r="C131" s="98"/>
      <c r="D131" s="98"/>
      <c r="E131" s="98"/>
    </row>
    <row r="132" spans="1:5" x14ac:dyDescent="0.2">
      <c r="A132" s="98"/>
      <c r="B132" s="98"/>
      <c r="C132" s="98"/>
      <c r="D132" s="98"/>
      <c r="E132" s="98"/>
    </row>
    <row r="133" spans="1:5" x14ac:dyDescent="0.2">
      <c r="A133" s="98"/>
      <c r="B133" s="98"/>
      <c r="C133" s="98"/>
      <c r="D133" s="98"/>
      <c r="E133" s="98"/>
    </row>
    <row r="134" spans="1:5" x14ac:dyDescent="0.2">
      <c r="A134" s="98"/>
      <c r="B134" s="98"/>
      <c r="C134" s="98"/>
      <c r="D134" s="98"/>
      <c r="E134" s="98"/>
    </row>
    <row r="135" spans="1:5" x14ac:dyDescent="0.2">
      <c r="A135" s="98"/>
      <c r="B135" s="98"/>
      <c r="C135" s="98"/>
      <c r="D135" s="98"/>
      <c r="E135" s="98"/>
    </row>
    <row r="136" spans="1:5" x14ac:dyDescent="0.2">
      <c r="A136" s="98"/>
      <c r="B136" s="98"/>
      <c r="C136" s="98"/>
      <c r="D136" s="98"/>
      <c r="E136" s="98"/>
    </row>
    <row r="137" spans="1:5" x14ac:dyDescent="0.2">
      <c r="A137" s="98"/>
      <c r="B137" s="98"/>
      <c r="C137" s="98"/>
      <c r="D137" s="98"/>
      <c r="E137" s="98"/>
    </row>
    <row r="138" spans="1:5" x14ac:dyDescent="0.2">
      <c r="A138" s="98"/>
      <c r="B138" s="98"/>
      <c r="C138" s="98"/>
      <c r="D138" s="98"/>
      <c r="E138" s="98"/>
    </row>
    <row r="139" spans="1:5" x14ac:dyDescent="0.2">
      <c r="A139" s="98"/>
      <c r="B139" s="98"/>
      <c r="C139" s="98"/>
      <c r="D139" s="98"/>
      <c r="E139" s="98"/>
    </row>
    <row r="140" spans="1:5" x14ac:dyDescent="0.2">
      <c r="A140" s="98"/>
      <c r="B140" s="98"/>
      <c r="C140" s="98"/>
      <c r="D140" s="98"/>
      <c r="E140" s="98"/>
    </row>
    <row r="141" spans="1:5" x14ac:dyDescent="0.2">
      <c r="A141" s="98"/>
      <c r="B141" s="98"/>
      <c r="C141" s="98"/>
      <c r="D141" s="98"/>
      <c r="E141" s="98"/>
    </row>
    <row r="142" spans="1:5" x14ac:dyDescent="0.2">
      <c r="A142" s="98"/>
      <c r="B142" s="98"/>
      <c r="C142" s="98"/>
      <c r="D142" s="98"/>
      <c r="E142" s="98"/>
    </row>
    <row r="143" spans="1:5" x14ac:dyDescent="0.2">
      <c r="A143" s="98"/>
      <c r="B143" s="98"/>
      <c r="C143" s="98"/>
      <c r="D143" s="98"/>
      <c r="E143" s="98"/>
    </row>
    <row r="144" spans="1:5" x14ac:dyDescent="0.2">
      <c r="A144" s="98"/>
      <c r="B144" s="98"/>
      <c r="C144" s="98"/>
      <c r="D144" s="98"/>
      <c r="E144" s="98"/>
    </row>
    <row r="145" spans="1:5" x14ac:dyDescent="0.2">
      <c r="A145" s="98"/>
      <c r="B145" s="98"/>
      <c r="C145" s="98"/>
      <c r="D145" s="98"/>
      <c r="E145" s="98"/>
    </row>
    <row r="146" spans="1:5" x14ac:dyDescent="0.2">
      <c r="A146" s="98"/>
      <c r="B146" s="98"/>
      <c r="C146" s="98"/>
      <c r="D146" s="98"/>
      <c r="E146" s="98"/>
    </row>
    <row r="147" spans="1:5" x14ac:dyDescent="0.2">
      <c r="A147" s="98"/>
      <c r="B147" s="98"/>
      <c r="C147" s="98"/>
      <c r="D147" s="98"/>
      <c r="E147" s="98"/>
    </row>
    <row r="148" spans="1:5" x14ac:dyDescent="0.2">
      <c r="A148" s="98"/>
      <c r="B148" s="98"/>
      <c r="C148" s="98"/>
      <c r="D148" s="98"/>
      <c r="E148" s="98"/>
    </row>
    <row r="149" spans="1:5" x14ac:dyDescent="0.2">
      <c r="A149" s="98"/>
      <c r="B149" s="98"/>
      <c r="C149" s="98"/>
      <c r="D149" s="98"/>
      <c r="E149" s="98"/>
    </row>
    <row r="150" spans="1:5" x14ac:dyDescent="0.2">
      <c r="A150" s="98"/>
      <c r="B150" s="98"/>
      <c r="C150" s="98"/>
      <c r="D150" s="98"/>
      <c r="E150" s="98"/>
    </row>
    <row r="151" spans="1:5" x14ac:dyDescent="0.2">
      <c r="A151" s="98"/>
      <c r="B151" s="98"/>
      <c r="C151" s="98"/>
      <c r="D151" s="98"/>
      <c r="E151" s="98"/>
    </row>
    <row r="152" spans="1:5" x14ac:dyDescent="0.2">
      <c r="A152" s="98"/>
      <c r="B152" s="98"/>
      <c r="C152" s="98"/>
      <c r="D152" s="98"/>
      <c r="E152" s="98"/>
    </row>
    <row r="153" spans="1:5" x14ac:dyDescent="0.2">
      <c r="A153" s="98"/>
      <c r="B153" s="98"/>
      <c r="C153" s="98"/>
      <c r="D153" s="98"/>
      <c r="E153" s="98"/>
    </row>
    <row r="154" spans="1:5" x14ac:dyDescent="0.2">
      <c r="A154" s="98"/>
      <c r="B154" s="98"/>
      <c r="C154" s="98"/>
      <c r="D154" s="98"/>
      <c r="E154" s="98"/>
    </row>
    <row r="155" spans="1:5" x14ac:dyDescent="0.2">
      <c r="A155" s="98"/>
      <c r="B155" s="98"/>
      <c r="C155" s="98"/>
      <c r="D155" s="98"/>
      <c r="E155" s="98"/>
    </row>
    <row r="156" spans="1:5" x14ac:dyDescent="0.2">
      <c r="A156" s="98"/>
      <c r="B156" s="98"/>
      <c r="C156" s="98"/>
      <c r="D156" s="98"/>
      <c r="E156" s="98"/>
    </row>
    <row r="157" spans="1:5" x14ac:dyDescent="0.2">
      <c r="A157" s="98"/>
      <c r="B157" s="98"/>
      <c r="C157" s="98"/>
      <c r="D157" s="98"/>
      <c r="E157" s="98"/>
    </row>
    <row r="158" spans="1:5" x14ac:dyDescent="0.2">
      <c r="A158" s="98"/>
      <c r="B158" s="98"/>
      <c r="C158" s="98"/>
      <c r="D158" s="98"/>
      <c r="E158" s="98"/>
    </row>
    <row r="159" spans="1:5" x14ac:dyDescent="0.2">
      <c r="A159" s="98"/>
      <c r="B159" s="98"/>
      <c r="C159" s="98"/>
      <c r="D159" s="98"/>
      <c r="E159" s="98"/>
    </row>
    <row r="160" spans="1:5" x14ac:dyDescent="0.2">
      <c r="A160" s="98"/>
      <c r="B160" s="98"/>
      <c r="C160" s="98"/>
      <c r="D160" s="98"/>
      <c r="E160" s="98"/>
    </row>
    <row r="161" spans="1:5" x14ac:dyDescent="0.2">
      <c r="A161" s="98"/>
      <c r="B161" s="98"/>
      <c r="C161" s="98"/>
      <c r="D161" s="98"/>
      <c r="E161" s="98"/>
    </row>
    <row r="162" spans="1:5" x14ac:dyDescent="0.2">
      <c r="A162" s="98"/>
      <c r="B162" s="98"/>
      <c r="C162" s="98"/>
      <c r="D162" s="98"/>
      <c r="E162" s="98"/>
    </row>
    <row r="163" spans="1:5" x14ac:dyDescent="0.2">
      <c r="A163" s="98"/>
      <c r="B163" s="98"/>
      <c r="C163" s="98"/>
      <c r="D163" s="98"/>
      <c r="E163" s="98"/>
    </row>
    <row r="164" spans="1:5" x14ac:dyDescent="0.2">
      <c r="A164" s="98"/>
      <c r="B164" s="98"/>
      <c r="C164" s="98"/>
      <c r="D164" s="98"/>
      <c r="E164" s="98"/>
    </row>
  </sheetData>
  <sheetProtection password="B007" sheet="1" objects="1" scenarios="1" formatCells="0" formatColumns="0" formatRows="0"/>
  <mergeCells count="51">
    <mergeCell ref="F1:AK1"/>
    <mergeCell ref="AN1:AU1"/>
    <mergeCell ref="A2:A4"/>
    <mergeCell ref="A1:B1"/>
    <mergeCell ref="C1:D1"/>
    <mergeCell ref="E1:E5"/>
    <mergeCell ref="B2:B5"/>
    <mergeCell ref="C2:C5"/>
    <mergeCell ref="D2:D5"/>
    <mergeCell ref="AI4:AJ4"/>
    <mergeCell ref="AN2:AN5"/>
    <mergeCell ref="AO2:AO5"/>
    <mergeCell ref="AP2:AP5"/>
    <mergeCell ref="AL1:AL5"/>
    <mergeCell ref="F2:AK2"/>
    <mergeCell ref="F3:O3"/>
    <mergeCell ref="AS2:AS5"/>
    <mergeCell ref="AQ2:AQ5"/>
    <mergeCell ref="AY3:AY5"/>
    <mergeCell ref="AX3:AX5"/>
    <mergeCell ref="AV3:AV5"/>
    <mergeCell ref="AR2:AR5"/>
    <mergeCell ref="P3:AK3"/>
    <mergeCell ref="AU2:AU5"/>
    <mergeCell ref="AV2:BA2"/>
    <mergeCell ref="AM1:AM5"/>
    <mergeCell ref="BN1:BQ1"/>
    <mergeCell ref="BD3:BD5"/>
    <mergeCell ref="BE3:BE5"/>
    <mergeCell ref="BF3:BF5"/>
    <mergeCell ref="BN2:BN5"/>
    <mergeCell ref="BJ1:BM1"/>
    <mergeCell ref="BQ2:BQ5"/>
    <mergeCell ref="BO2:BO5"/>
    <mergeCell ref="BH2:BH5"/>
    <mergeCell ref="BP2:BP5"/>
    <mergeCell ref="AV1:BI1"/>
    <mergeCell ref="BB3:BB5"/>
    <mergeCell ref="BI2:BI5"/>
    <mergeCell ref="BK2:BK3"/>
    <mergeCell ref="BB2:BG2"/>
    <mergeCell ref="BL2:BL5"/>
    <mergeCell ref="BM2:BM5"/>
    <mergeCell ref="BJ2:BJ5"/>
    <mergeCell ref="BK4:BK5"/>
    <mergeCell ref="BA3:BA5"/>
    <mergeCell ref="BG3:BG5"/>
    <mergeCell ref="AZ3:AZ5"/>
    <mergeCell ref="BC3:BC5"/>
    <mergeCell ref="AT2:AT5"/>
    <mergeCell ref="AW3:AW5"/>
  </mergeCells>
  <dataValidations count="1">
    <dataValidation type="list" allowBlank="1" showInputMessage="1" showErrorMessage="1" sqref="E6:E55">
      <formula1>$BU$6:$BU$8</formula1>
    </dataValidation>
  </dataValidations>
  <pageMargins left="0.48" right="0.27559055118110237" top="0.31496062992125984" bottom="0.31496062992125984" header="0" footer="0"/>
  <pageSetup paperSize="5" orientation="portrait" blackAndWhite="1" horizontalDpi="4294967293" r:id="rId1"/>
  <colBreaks count="1" manualBreakCount="1">
    <brk id="65" max="54" man="1"/>
  </colBreaks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DX164"/>
  <sheetViews>
    <sheetView zoomScale="160" zoomScaleNormal="160" workbookViewId="0">
      <pane xSplit="6" ySplit="5" topLeftCell="G6" activePane="bottomRight" state="frozen"/>
      <selection pane="topRight" activeCell="G1" sqref="G1"/>
      <selection pane="bottomLeft" activeCell="A6" sqref="A6"/>
      <selection pane="bottomRight" sqref="A1:B1"/>
    </sheetView>
  </sheetViews>
  <sheetFormatPr defaultRowHeight="20.25" x14ac:dyDescent="0.3"/>
  <cols>
    <col min="1" max="1" width="6.375" style="139" customWidth="1"/>
    <col min="2" max="2" width="9.625" style="139" customWidth="1"/>
    <col min="3" max="3" width="17.625" style="139" customWidth="1"/>
    <col min="4" max="4" width="21.125" style="139" customWidth="1"/>
    <col min="5" max="5" width="0.75" style="140" hidden="1" customWidth="1"/>
    <col min="6" max="6" width="6.75" style="140" customWidth="1"/>
    <col min="7" max="116" width="1.875" style="140" customWidth="1"/>
    <col min="117" max="120" width="6.625" style="140" customWidth="1"/>
    <col min="121" max="121" width="8.125" style="140" customWidth="1"/>
    <col min="122" max="122" width="7.125" style="140" customWidth="1"/>
    <col min="125" max="128" width="9" style="140" hidden="1" customWidth="1"/>
    <col min="129" max="16384" width="9" style="140"/>
  </cols>
  <sheetData>
    <row r="1" spans="1:128" ht="27" customHeight="1" thickBot="1" x14ac:dyDescent="0.35">
      <c r="A1" s="573" t="str">
        <f>DATA!B6</f>
        <v>ประถมศึกษาปีที่ ๔/๑</v>
      </c>
      <c r="B1" s="573"/>
      <c r="C1" s="574" t="str">
        <f>"การประเมินผลการเรียนรู้  กลุ่มสาระ"&amp;DATA!B7</f>
        <v>การประเมินผลการเรียนรู้  กลุ่มสาระภาษาไทย</v>
      </c>
      <c r="D1" s="575"/>
      <c r="E1" s="575"/>
      <c r="F1" s="575"/>
      <c r="G1" s="602" t="s">
        <v>177</v>
      </c>
      <c r="H1" s="603"/>
      <c r="I1" s="603"/>
      <c r="J1" s="603"/>
      <c r="K1" s="603"/>
      <c r="L1" s="602" t="s">
        <v>178</v>
      </c>
      <c r="M1" s="603"/>
      <c r="N1" s="603"/>
      <c r="O1" s="603"/>
      <c r="P1" s="603"/>
      <c r="Q1" s="602" t="s">
        <v>175</v>
      </c>
      <c r="R1" s="603"/>
      <c r="S1" s="603"/>
      <c r="T1" s="603"/>
      <c r="U1" s="603"/>
      <c r="V1" s="602" t="s">
        <v>176</v>
      </c>
      <c r="W1" s="603"/>
      <c r="X1" s="603"/>
      <c r="Y1" s="603"/>
      <c r="Z1" s="603"/>
      <c r="AA1" s="602" t="s">
        <v>176</v>
      </c>
      <c r="AB1" s="603"/>
      <c r="AC1" s="603"/>
      <c r="AD1" s="603"/>
      <c r="AE1" s="603"/>
      <c r="AF1" s="602" t="s">
        <v>176</v>
      </c>
      <c r="AG1" s="603"/>
      <c r="AH1" s="603"/>
      <c r="AI1" s="603"/>
      <c r="AJ1" s="603"/>
      <c r="AK1" s="602" t="s">
        <v>176</v>
      </c>
      <c r="AL1" s="603"/>
      <c r="AM1" s="603"/>
      <c r="AN1" s="603"/>
      <c r="AO1" s="603"/>
      <c r="AP1" s="602" t="s">
        <v>178</v>
      </c>
      <c r="AQ1" s="603"/>
      <c r="AR1" s="603"/>
      <c r="AS1" s="603"/>
      <c r="AT1" s="603"/>
      <c r="AU1" s="602" t="s">
        <v>178</v>
      </c>
      <c r="AV1" s="603"/>
      <c r="AW1" s="603"/>
      <c r="AX1" s="603"/>
      <c r="AY1" s="603"/>
      <c r="AZ1" s="602" t="s">
        <v>178</v>
      </c>
      <c r="BA1" s="603"/>
      <c r="BB1" s="603"/>
      <c r="BC1" s="603"/>
      <c r="BD1" s="603"/>
      <c r="BE1" s="602" t="s">
        <v>178</v>
      </c>
      <c r="BF1" s="603"/>
      <c r="BG1" s="603"/>
      <c r="BH1" s="603"/>
      <c r="BI1" s="603"/>
      <c r="BJ1" s="602" t="s">
        <v>179</v>
      </c>
      <c r="BK1" s="603"/>
      <c r="BL1" s="603"/>
      <c r="BM1" s="603"/>
      <c r="BN1" s="603"/>
      <c r="BO1" s="602" t="s">
        <v>180</v>
      </c>
      <c r="BP1" s="603"/>
      <c r="BQ1" s="603"/>
      <c r="BR1" s="603"/>
      <c r="BS1" s="603"/>
      <c r="BT1" s="602" t="s">
        <v>180</v>
      </c>
      <c r="BU1" s="603"/>
      <c r="BV1" s="603"/>
      <c r="BW1" s="603"/>
      <c r="BX1" s="603"/>
      <c r="BY1" s="602" t="s">
        <v>180</v>
      </c>
      <c r="BZ1" s="603"/>
      <c r="CA1" s="603"/>
      <c r="CB1" s="603"/>
      <c r="CC1" s="603"/>
      <c r="CD1" s="602" t="s">
        <v>180</v>
      </c>
      <c r="CE1" s="603"/>
      <c r="CF1" s="603"/>
      <c r="CG1" s="603"/>
      <c r="CH1" s="603"/>
      <c r="CI1" s="602" t="s">
        <v>182</v>
      </c>
      <c r="CJ1" s="603"/>
      <c r="CK1" s="603"/>
      <c r="CL1" s="603"/>
      <c r="CM1" s="603"/>
      <c r="CN1" s="602" t="s">
        <v>182</v>
      </c>
      <c r="CO1" s="603"/>
      <c r="CP1" s="603"/>
      <c r="CQ1" s="603"/>
      <c r="CR1" s="603"/>
      <c r="CS1" s="602" t="s">
        <v>182</v>
      </c>
      <c r="CT1" s="603"/>
      <c r="CU1" s="603"/>
      <c r="CV1" s="603"/>
      <c r="CW1" s="603"/>
      <c r="CX1" s="600" t="s">
        <v>182</v>
      </c>
      <c r="CY1" s="601"/>
      <c r="CZ1" s="601"/>
      <c r="DA1" s="601"/>
      <c r="DB1" s="601"/>
      <c r="DC1" s="600" t="s">
        <v>184</v>
      </c>
      <c r="DD1" s="601"/>
      <c r="DE1" s="601"/>
      <c r="DF1" s="601"/>
      <c r="DG1" s="601"/>
      <c r="DH1" s="600" t="s">
        <v>184</v>
      </c>
      <c r="DI1" s="601"/>
      <c r="DJ1" s="601"/>
      <c r="DK1" s="601"/>
      <c r="DL1" s="601"/>
      <c r="DM1" s="604" t="s">
        <v>133</v>
      </c>
      <c r="DN1" s="605"/>
      <c r="DO1" s="605"/>
      <c r="DP1" s="605"/>
      <c r="DQ1" s="606"/>
      <c r="DR1" s="607" t="s">
        <v>230</v>
      </c>
      <c r="DU1" s="140" t="s">
        <v>168</v>
      </c>
      <c r="DV1" s="175">
        <v>1</v>
      </c>
      <c r="DW1" s="175">
        <v>1</v>
      </c>
      <c r="DX1" s="175" t="s">
        <v>209</v>
      </c>
    </row>
    <row r="2" spans="1:128" ht="21" thickBot="1" x14ac:dyDescent="0.35">
      <c r="A2" s="585" t="s">
        <v>2</v>
      </c>
      <c r="B2" s="588" t="s">
        <v>3</v>
      </c>
      <c r="C2" s="591" t="s">
        <v>232</v>
      </c>
      <c r="D2" s="591" t="s">
        <v>233</v>
      </c>
      <c r="E2" s="360"/>
      <c r="F2" s="361" t="s">
        <v>120</v>
      </c>
      <c r="G2" s="597" t="s">
        <v>139</v>
      </c>
      <c r="H2" s="598"/>
      <c r="I2" s="598"/>
      <c r="J2" s="598"/>
      <c r="K2" s="599"/>
      <c r="L2" s="597" t="s">
        <v>140</v>
      </c>
      <c r="M2" s="598"/>
      <c r="N2" s="598"/>
      <c r="O2" s="598"/>
      <c r="P2" s="599"/>
      <c r="Q2" s="597" t="s">
        <v>141</v>
      </c>
      <c r="R2" s="598"/>
      <c r="S2" s="598"/>
      <c r="T2" s="598"/>
      <c r="U2" s="599"/>
      <c r="V2" s="597" t="s">
        <v>142</v>
      </c>
      <c r="W2" s="598"/>
      <c r="X2" s="598"/>
      <c r="Y2" s="598"/>
      <c r="Z2" s="599"/>
      <c r="AA2" s="597" t="s">
        <v>143</v>
      </c>
      <c r="AB2" s="598"/>
      <c r="AC2" s="598"/>
      <c r="AD2" s="598"/>
      <c r="AE2" s="599"/>
      <c r="AF2" s="597" t="s">
        <v>144</v>
      </c>
      <c r="AG2" s="598"/>
      <c r="AH2" s="598"/>
      <c r="AI2" s="598"/>
      <c r="AJ2" s="599"/>
      <c r="AK2" s="597" t="s">
        <v>145</v>
      </c>
      <c r="AL2" s="598"/>
      <c r="AM2" s="598"/>
      <c r="AN2" s="598"/>
      <c r="AO2" s="599"/>
      <c r="AP2" s="597" t="s">
        <v>146</v>
      </c>
      <c r="AQ2" s="598"/>
      <c r="AR2" s="598"/>
      <c r="AS2" s="598"/>
      <c r="AT2" s="599"/>
      <c r="AU2" s="597" t="s">
        <v>147</v>
      </c>
      <c r="AV2" s="598"/>
      <c r="AW2" s="598"/>
      <c r="AX2" s="598"/>
      <c r="AY2" s="599"/>
      <c r="AZ2" s="597" t="s">
        <v>148</v>
      </c>
      <c r="BA2" s="598"/>
      <c r="BB2" s="598"/>
      <c r="BC2" s="598"/>
      <c r="BD2" s="599"/>
      <c r="BE2" s="597" t="s">
        <v>149</v>
      </c>
      <c r="BF2" s="598"/>
      <c r="BG2" s="598"/>
      <c r="BH2" s="598"/>
      <c r="BI2" s="599"/>
      <c r="BJ2" s="597" t="s">
        <v>150</v>
      </c>
      <c r="BK2" s="598"/>
      <c r="BL2" s="598"/>
      <c r="BM2" s="598"/>
      <c r="BN2" s="599"/>
      <c r="BO2" s="597" t="s">
        <v>151</v>
      </c>
      <c r="BP2" s="598"/>
      <c r="BQ2" s="598"/>
      <c r="BR2" s="598"/>
      <c r="BS2" s="599"/>
      <c r="BT2" s="597" t="s">
        <v>152</v>
      </c>
      <c r="BU2" s="598"/>
      <c r="BV2" s="598"/>
      <c r="BW2" s="598"/>
      <c r="BX2" s="599"/>
      <c r="BY2" s="597" t="s">
        <v>153</v>
      </c>
      <c r="BZ2" s="598"/>
      <c r="CA2" s="598"/>
      <c r="CB2" s="598"/>
      <c r="CC2" s="599"/>
      <c r="CD2" s="597" t="s">
        <v>154</v>
      </c>
      <c r="CE2" s="598"/>
      <c r="CF2" s="598"/>
      <c r="CG2" s="598"/>
      <c r="CH2" s="599"/>
      <c r="CI2" s="597" t="s">
        <v>155</v>
      </c>
      <c r="CJ2" s="598"/>
      <c r="CK2" s="598"/>
      <c r="CL2" s="598"/>
      <c r="CM2" s="599"/>
      <c r="CN2" s="597" t="s">
        <v>156</v>
      </c>
      <c r="CO2" s="598"/>
      <c r="CP2" s="598"/>
      <c r="CQ2" s="598"/>
      <c r="CR2" s="599"/>
      <c r="CS2" s="597" t="s">
        <v>157</v>
      </c>
      <c r="CT2" s="598"/>
      <c r="CU2" s="598"/>
      <c r="CV2" s="598"/>
      <c r="CW2" s="599"/>
      <c r="CX2" s="597" t="s">
        <v>158</v>
      </c>
      <c r="CY2" s="598"/>
      <c r="CZ2" s="598"/>
      <c r="DA2" s="598"/>
      <c r="DB2" s="599"/>
      <c r="DC2" s="597" t="s">
        <v>224</v>
      </c>
      <c r="DD2" s="598"/>
      <c r="DE2" s="598"/>
      <c r="DF2" s="598"/>
      <c r="DG2" s="598"/>
      <c r="DH2" s="597" t="s">
        <v>225</v>
      </c>
      <c r="DI2" s="598"/>
      <c r="DJ2" s="598"/>
      <c r="DK2" s="598"/>
      <c r="DL2" s="599"/>
      <c r="DM2" s="605" t="s">
        <v>134</v>
      </c>
      <c r="DN2" s="610"/>
      <c r="DO2" s="306">
        <f>COUNT(G5:DL5)</f>
        <v>1</v>
      </c>
      <c r="DP2" s="611" t="s">
        <v>123</v>
      </c>
      <c r="DQ2" s="612"/>
      <c r="DR2" s="608"/>
      <c r="DU2" s="140" t="s">
        <v>169</v>
      </c>
      <c r="DV2" s="175">
        <v>2</v>
      </c>
      <c r="DW2" s="175">
        <v>2</v>
      </c>
      <c r="DX2" s="175" t="s">
        <v>210</v>
      </c>
    </row>
    <row r="3" spans="1:128" ht="18" customHeight="1" thickBot="1" x14ac:dyDescent="0.35">
      <c r="A3" s="586"/>
      <c r="B3" s="589"/>
      <c r="C3" s="592"/>
      <c r="D3" s="592"/>
      <c r="E3" s="362"/>
      <c r="F3" s="363" t="s">
        <v>121</v>
      </c>
      <c r="G3" s="364" t="s">
        <v>124</v>
      </c>
      <c r="H3" s="365" t="s">
        <v>125</v>
      </c>
      <c r="I3" s="365" t="s">
        <v>126</v>
      </c>
      <c r="J3" s="365" t="s">
        <v>127</v>
      </c>
      <c r="K3" s="366" t="s">
        <v>128</v>
      </c>
      <c r="L3" s="364" t="s">
        <v>124</v>
      </c>
      <c r="M3" s="365" t="s">
        <v>125</v>
      </c>
      <c r="N3" s="365" t="s">
        <v>126</v>
      </c>
      <c r="O3" s="365" t="s">
        <v>127</v>
      </c>
      <c r="P3" s="366" t="s">
        <v>128</v>
      </c>
      <c r="Q3" s="364" t="s">
        <v>124</v>
      </c>
      <c r="R3" s="365" t="s">
        <v>125</v>
      </c>
      <c r="S3" s="365" t="s">
        <v>126</v>
      </c>
      <c r="T3" s="365" t="s">
        <v>127</v>
      </c>
      <c r="U3" s="366" t="s">
        <v>128</v>
      </c>
      <c r="V3" s="364" t="s">
        <v>124</v>
      </c>
      <c r="W3" s="365" t="s">
        <v>125</v>
      </c>
      <c r="X3" s="365" t="s">
        <v>126</v>
      </c>
      <c r="Y3" s="365" t="s">
        <v>127</v>
      </c>
      <c r="Z3" s="366" t="s">
        <v>128</v>
      </c>
      <c r="AA3" s="364" t="s">
        <v>124</v>
      </c>
      <c r="AB3" s="365" t="s">
        <v>125</v>
      </c>
      <c r="AC3" s="365" t="s">
        <v>126</v>
      </c>
      <c r="AD3" s="365" t="s">
        <v>127</v>
      </c>
      <c r="AE3" s="366" t="s">
        <v>128</v>
      </c>
      <c r="AF3" s="364" t="s">
        <v>124</v>
      </c>
      <c r="AG3" s="365" t="s">
        <v>125</v>
      </c>
      <c r="AH3" s="365" t="s">
        <v>126</v>
      </c>
      <c r="AI3" s="365" t="s">
        <v>127</v>
      </c>
      <c r="AJ3" s="366" t="s">
        <v>128</v>
      </c>
      <c r="AK3" s="364" t="s">
        <v>124</v>
      </c>
      <c r="AL3" s="365" t="s">
        <v>125</v>
      </c>
      <c r="AM3" s="365" t="s">
        <v>126</v>
      </c>
      <c r="AN3" s="365" t="s">
        <v>127</v>
      </c>
      <c r="AO3" s="366" t="s">
        <v>128</v>
      </c>
      <c r="AP3" s="364" t="s">
        <v>124</v>
      </c>
      <c r="AQ3" s="365" t="s">
        <v>125</v>
      </c>
      <c r="AR3" s="365" t="s">
        <v>126</v>
      </c>
      <c r="AS3" s="365" t="s">
        <v>127</v>
      </c>
      <c r="AT3" s="366" t="s">
        <v>128</v>
      </c>
      <c r="AU3" s="364" t="s">
        <v>124</v>
      </c>
      <c r="AV3" s="365" t="s">
        <v>125</v>
      </c>
      <c r="AW3" s="365" t="s">
        <v>126</v>
      </c>
      <c r="AX3" s="365" t="s">
        <v>127</v>
      </c>
      <c r="AY3" s="366" t="s">
        <v>128</v>
      </c>
      <c r="AZ3" s="364" t="s">
        <v>124</v>
      </c>
      <c r="BA3" s="365" t="s">
        <v>125</v>
      </c>
      <c r="BB3" s="365" t="s">
        <v>126</v>
      </c>
      <c r="BC3" s="365" t="s">
        <v>127</v>
      </c>
      <c r="BD3" s="366" t="s">
        <v>128</v>
      </c>
      <c r="BE3" s="364" t="s">
        <v>124</v>
      </c>
      <c r="BF3" s="365" t="s">
        <v>125</v>
      </c>
      <c r="BG3" s="365" t="s">
        <v>126</v>
      </c>
      <c r="BH3" s="365" t="s">
        <v>127</v>
      </c>
      <c r="BI3" s="366" t="s">
        <v>128</v>
      </c>
      <c r="BJ3" s="364" t="s">
        <v>124</v>
      </c>
      <c r="BK3" s="365" t="s">
        <v>125</v>
      </c>
      <c r="BL3" s="365" t="s">
        <v>126</v>
      </c>
      <c r="BM3" s="365" t="s">
        <v>127</v>
      </c>
      <c r="BN3" s="366" t="s">
        <v>128</v>
      </c>
      <c r="BO3" s="364" t="s">
        <v>124</v>
      </c>
      <c r="BP3" s="365" t="s">
        <v>125</v>
      </c>
      <c r="BQ3" s="365" t="s">
        <v>126</v>
      </c>
      <c r="BR3" s="365" t="s">
        <v>127</v>
      </c>
      <c r="BS3" s="366" t="s">
        <v>128</v>
      </c>
      <c r="BT3" s="364" t="s">
        <v>124</v>
      </c>
      <c r="BU3" s="365" t="s">
        <v>125</v>
      </c>
      <c r="BV3" s="365" t="s">
        <v>126</v>
      </c>
      <c r="BW3" s="365" t="s">
        <v>127</v>
      </c>
      <c r="BX3" s="366" t="s">
        <v>128</v>
      </c>
      <c r="BY3" s="364" t="s">
        <v>124</v>
      </c>
      <c r="BZ3" s="365" t="s">
        <v>125</v>
      </c>
      <c r="CA3" s="365" t="s">
        <v>126</v>
      </c>
      <c r="CB3" s="365" t="s">
        <v>127</v>
      </c>
      <c r="CC3" s="366" t="s">
        <v>128</v>
      </c>
      <c r="CD3" s="364" t="s">
        <v>124</v>
      </c>
      <c r="CE3" s="365" t="s">
        <v>125</v>
      </c>
      <c r="CF3" s="365" t="s">
        <v>126</v>
      </c>
      <c r="CG3" s="365" t="s">
        <v>127</v>
      </c>
      <c r="CH3" s="366" t="s">
        <v>128</v>
      </c>
      <c r="CI3" s="364" t="s">
        <v>124</v>
      </c>
      <c r="CJ3" s="365" t="s">
        <v>125</v>
      </c>
      <c r="CK3" s="365" t="s">
        <v>126</v>
      </c>
      <c r="CL3" s="365" t="s">
        <v>127</v>
      </c>
      <c r="CM3" s="366" t="s">
        <v>128</v>
      </c>
      <c r="CN3" s="364" t="s">
        <v>124</v>
      </c>
      <c r="CO3" s="365" t="s">
        <v>125</v>
      </c>
      <c r="CP3" s="365" t="s">
        <v>126</v>
      </c>
      <c r="CQ3" s="365" t="s">
        <v>127</v>
      </c>
      <c r="CR3" s="366" t="s">
        <v>128</v>
      </c>
      <c r="CS3" s="364" t="s">
        <v>124</v>
      </c>
      <c r="CT3" s="365" t="s">
        <v>125</v>
      </c>
      <c r="CU3" s="365" t="s">
        <v>126</v>
      </c>
      <c r="CV3" s="365" t="s">
        <v>127</v>
      </c>
      <c r="CW3" s="366" t="s">
        <v>128</v>
      </c>
      <c r="CX3" s="364" t="s">
        <v>124</v>
      </c>
      <c r="CY3" s="365" t="s">
        <v>125</v>
      </c>
      <c r="CZ3" s="365" t="s">
        <v>126</v>
      </c>
      <c r="DA3" s="365" t="s">
        <v>127</v>
      </c>
      <c r="DB3" s="366" t="s">
        <v>128</v>
      </c>
      <c r="DC3" s="364" t="s">
        <v>124</v>
      </c>
      <c r="DD3" s="365" t="s">
        <v>125</v>
      </c>
      <c r="DE3" s="365" t="s">
        <v>126</v>
      </c>
      <c r="DF3" s="365" t="s">
        <v>127</v>
      </c>
      <c r="DG3" s="366" t="s">
        <v>128</v>
      </c>
      <c r="DH3" s="364" t="s">
        <v>124</v>
      </c>
      <c r="DI3" s="365" t="s">
        <v>125</v>
      </c>
      <c r="DJ3" s="365" t="s">
        <v>126</v>
      </c>
      <c r="DK3" s="365" t="s">
        <v>127</v>
      </c>
      <c r="DL3" s="366" t="s">
        <v>128</v>
      </c>
      <c r="DM3" s="613" t="s">
        <v>211</v>
      </c>
      <c r="DN3" s="616" t="s">
        <v>135</v>
      </c>
      <c r="DO3" s="616" t="s">
        <v>136</v>
      </c>
      <c r="DP3" s="616" t="s">
        <v>137</v>
      </c>
      <c r="DQ3" s="619" t="s">
        <v>138</v>
      </c>
      <c r="DR3" s="608"/>
      <c r="DU3" s="140" t="s">
        <v>170</v>
      </c>
      <c r="DV3" s="175">
        <v>3</v>
      </c>
      <c r="DW3" s="175">
        <v>3</v>
      </c>
      <c r="DX3" s="175" t="s">
        <v>118</v>
      </c>
    </row>
    <row r="4" spans="1:128" ht="36" customHeight="1" thickBot="1" x14ac:dyDescent="0.35">
      <c r="A4" s="586"/>
      <c r="B4" s="589"/>
      <c r="C4" s="592"/>
      <c r="D4" s="592"/>
      <c r="E4" s="362"/>
      <c r="F4" s="361" t="s">
        <v>122</v>
      </c>
      <c r="G4" s="367">
        <v>242337</v>
      </c>
      <c r="H4" s="368">
        <f>IF($G$4=0,"",$G$4+1)</f>
        <v>242338</v>
      </c>
      <c r="I4" s="368">
        <f>IF($G$4=0,"",$G$4+2)</f>
        <v>242339</v>
      </c>
      <c r="J4" s="368">
        <f>IF($G$4=0,"",$G$4+3)</f>
        <v>242340</v>
      </c>
      <c r="K4" s="369">
        <f>IF($G$4=0,"",$G$4+4)</f>
        <v>242341</v>
      </c>
      <c r="L4" s="370">
        <f>IF($G$4=0,"",$G$4+7)</f>
        <v>242344</v>
      </c>
      <c r="M4" s="368">
        <f>IF($G$4=0,"",$G$4+8)</f>
        <v>242345</v>
      </c>
      <c r="N4" s="368">
        <f>IF($G$4=0,"",$G$4+9)</f>
        <v>242346</v>
      </c>
      <c r="O4" s="368">
        <f>IF($G$4=0,"",$G$4+10)</f>
        <v>242347</v>
      </c>
      <c r="P4" s="371">
        <f>IF($G$4=0,"",$G$4+11)</f>
        <v>242348</v>
      </c>
      <c r="Q4" s="372">
        <f>IF($G$4=0,"",$G$4+14)</f>
        <v>242351</v>
      </c>
      <c r="R4" s="368">
        <f>IF($G$4=0,"",$G$4+15)</f>
        <v>242352</v>
      </c>
      <c r="S4" s="368">
        <f>IF($G$4=0,"",$G$4+16)</f>
        <v>242353</v>
      </c>
      <c r="T4" s="368">
        <f>IF($G$4=0,"",$G$4+17)</f>
        <v>242354</v>
      </c>
      <c r="U4" s="369">
        <f>IF($G$4=0,"",$G$4+18)</f>
        <v>242355</v>
      </c>
      <c r="V4" s="370">
        <f>IF($G$4=0,"",$G$4+21)</f>
        <v>242358</v>
      </c>
      <c r="W4" s="368">
        <f>IF($G$4=0,"",$G$4+22)</f>
        <v>242359</v>
      </c>
      <c r="X4" s="368">
        <f>IF($G$4=0,"",$G$4+23)</f>
        <v>242360</v>
      </c>
      <c r="Y4" s="368">
        <f>IF($G$4=0,"",$G$4+24)</f>
        <v>242361</v>
      </c>
      <c r="Z4" s="371">
        <f>IF($G$4=0,"",$G$4+25)</f>
        <v>242362</v>
      </c>
      <c r="AA4" s="372">
        <f>IF($G$4=0,"",$G$4+28)</f>
        <v>242365</v>
      </c>
      <c r="AB4" s="368">
        <f>IF($G$4=0,"",$G$4+29)</f>
        <v>242366</v>
      </c>
      <c r="AC4" s="368">
        <f>IF($G$4=0,"",$G$4+30)</f>
        <v>242367</v>
      </c>
      <c r="AD4" s="368">
        <f>IF($G$4=0,"",$G$4+31)</f>
        <v>242368</v>
      </c>
      <c r="AE4" s="369">
        <f>IF($G$4=0,"",$G$4+32)</f>
        <v>242369</v>
      </c>
      <c r="AF4" s="370">
        <f>IF($G$4=0,"",$G$4+35)</f>
        <v>242372</v>
      </c>
      <c r="AG4" s="368">
        <f>IF($G$4=0,"",$G$4+36)</f>
        <v>242373</v>
      </c>
      <c r="AH4" s="368">
        <f>IF($G$4=0,"",$G$4+37)</f>
        <v>242374</v>
      </c>
      <c r="AI4" s="368">
        <f>IF($G$4=0,"",$G$4+38)</f>
        <v>242375</v>
      </c>
      <c r="AJ4" s="371">
        <f>IF($G$4=0,"",$G$4+39)</f>
        <v>242376</v>
      </c>
      <c r="AK4" s="372">
        <f>IF($G$4=0,"",$G$4+42)</f>
        <v>242379</v>
      </c>
      <c r="AL4" s="368">
        <f>IF($G$4=0,"",$G$4+43)</f>
        <v>242380</v>
      </c>
      <c r="AM4" s="368">
        <f>IF($G$4=0,"",$G$4+44)</f>
        <v>242381</v>
      </c>
      <c r="AN4" s="368">
        <f>IF($G$4=0,"",$G$4+45)</f>
        <v>242382</v>
      </c>
      <c r="AO4" s="369">
        <f>IF($G$4=0,"",$G$4+46)</f>
        <v>242383</v>
      </c>
      <c r="AP4" s="372">
        <f>IF($G$4=0,"",$G$4+49)</f>
        <v>242386</v>
      </c>
      <c r="AQ4" s="368">
        <f>IF($G$4=0,"",$G$4+50)</f>
        <v>242387</v>
      </c>
      <c r="AR4" s="368">
        <f>IF($G$4=0,"",$G$4+51)</f>
        <v>242388</v>
      </c>
      <c r="AS4" s="368">
        <f>IF($G$4=0,"",$G$4+52)</f>
        <v>242389</v>
      </c>
      <c r="AT4" s="369">
        <f>IF($G$4=0,"",$G$4+53)</f>
        <v>242390</v>
      </c>
      <c r="AU4" s="370">
        <f>IF($G$4=0,"",$G$4+56)</f>
        <v>242393</v>
      </c>
      <c r="AV4" s="368">
        <f>IF($G$4=0,"",$G$4+57)</f>
        <v>242394</v>
      </c>
      <c r="AW4" s="368">
        <f>IF($G$4=0,"",$G$4+58)</f>
        <v>242395</v>
      </c>
      <c r="AX4" s="368">
        <f>IF($G$4=0,"",$G$4+59)</f>
        <v>242396</v>
      </c>
      <c r="AY4" s="371">
        <f>IF($G$4=0,"",$G$4+60)</f>
        <v>242397</v>
      </c>
      <c r="AZ4" s="372">
        <f>IF($G$4=0,"",$G$4+63)</f>
        <v>242400</v>
      </c>
      <c r="BA4" s="368">
        <f>IF($G$4=0,"",$G$4+64)</f>
        <v>242401</v>
      </c>
      <c r="BB4" s="368">
        <f>IF($G$4=0,"",$G$4+65)</f>
        <v>242402</v>
      </c>
      <c r="BC4" s="368">
        <f>IF($G$4=0,"",$G$4+66)</f>
        <v>242403</v>
      </c>
      <c r="BD4" s="369">
        <f>IF($G$4=0,"",$G$4+67)</f>
        <v>242404</v>
      </c>
      <c r="BE4" s="372">
        <f>IF($G$4=0,"",$G$4+70)</f>
        <v>242407</v>
      </c>
      <c r="BF4" s="368">
        <f>IF($G$4=0,"",$G$4+71)</f>
        <v>242408</v>
      </c>
      <c r="BG4" s="368">
        <f>IF($G$4=0,"",$G$4+72)</f>
        <v>242409</v>
      </c>
      <c r="BH4" s="368">
        <f>IF($G$4=0,"",$G$4+73)</f>
        <v>242410</v>
      </c>
      <c r="BI4" s="369">
        <f>IF($G$4=0,"",$G$4+74)</f>
        <v>242411</v>
      </c>
      <c r="BJ4" s="370">
        <f>IF($G$4=0,"",$G$4+77)</f>
        <v>242414</v>
      </c>
      <c r="BK4" s="368">
        <f>IF($G$4=0,"",$G$4+78)</f>
        <v>242415</v>
      </c>
      <c r="BL4" s="368">
        <f>IF($G$4=0,"",$G$4+79)</f>
        <v>242416</v>
      </c>
      <c r="BM4" s="368">
        <f>IF($G$4=0,"",$G$4+80)</f>
        <v>242417</v>
      </c>
      <c r="BN4" s="371">
        <f>IF($G$4=0,"",$G$4+81)</f>
        <v>242418</v>
      </c>
      <c r="BO4" s="368">
        <f>IF($G$4=0,"",$G$4+84)</f>
        <v>242421</v>
      </c>
      <c r="BP4" s="368">
        <f>IF($G$4=0,"",$G$4+85)</f>
        <v>242422</v>
      </c>
      <c r="BQ4" s="368">
        <f>IF($G$4=0,"",$G$4+86)</f>
        <v>242423</v>
      </c>
      <c r="BR4" s="368">
        <f>IF($G$4=0,"",$G$4+87)</f>
        <v>242424</v>
      </c>
      <c r="BS4" s="369">
        <f>IF($G$4=0,"",$G$4+88)</f>
        <v>242425</v>
      </c>
      <c r="BT4" s="372">
        <f>IF($G$4=0,"",$G$4+91)</f>
        <v>242428</v>
      </c>
      <c r="BU4" s="368">
        <f>IF($G$4=0,"",$G$4+92)</f>
        <v>242429</v>
      </c>
      <c r="BV4" s="368">
        <f>IF($G$4=0,"",$G$4+93)</f>
        <v>242430</v>
      </c>
      <c r="BW4" s="368">
        <f>IF($G$4=0,"",$G$4+94)</f>
        <v>242431</v>
      </c>
      <c r="BX4" s="369">
        <f>IF($G$4=0,"",$G$4+95)</f>
        <v>242432</v>
      </c>
      <c r="BY4" s="372">
        <f>IF($G$4=0,"",$G$4+98)</f>
        <v>242435</v>
      </c>
      <c r="BZ4" s="368">
        <f>IF($G$4=0,"",$G$4+99)</f>
        <v>242436</v>
      </c>
      <c r="CA4" s="368">
        <f>IF($G$4=0,"",$G$4+100)</f>
        <v>242437</v>
      </c>
      <c r="CB4" s="368">
        <f>IF($G$4=0,"",$G$4+101)</f>
        <v>242438</v>
      </c>
      <c r="CC4" s="369">
        <f>IF($G$4=0,"",$G$4+102)</f>
        <v>242439</v>
      </c>
      <c r="CD4" s="372">
        <f>IF($G$4=0,"",$G$4+105)</f>
        <v>242442</v>
      </c>
      <c r="CE4" s="368">
        <f>IF($G$4=0,"",$G$4+106)</f>
        <v>242443</v>
      </c>
      <c r="CF4" s="368">
        <f>IF($G$4=0,"",$G$4+107)</f>
        <v>242444</v>
      </c>
      <c r="CG4" s="368">
        <f>IF($G$4=0,"",$G$4+108)</f>
        <v>242445</v>
      </c>
      <c r="CH4" s="369">
        <f>IF($G$4=0,"",$G$4+109)</f>
        <v>242446</v>
      </c>
      <c r="CI4" s="372">
        <f>IF($G$4=0,"",$G$4+112)</f>
        <v>242449</v>
      </c>
      <c r="CJ4" s="368">
        <f>IF($G$4=0,"",$G$4+113)</f>
        <v>242450</v>
      </c>
      <c r="CK4" s="368">
        <f>IF($G$4=0,"",$G$4+114)</f>
        <v>242451</v>
      </c>
      <c r="CL4" s="368">
        <f>IF($G$4=0,"",$G$4+115)</f>
        <v>242452</v>
      </c>
      <c r="CM4" s="369">
        <f>IF($G$4=0,"",$G$4+116)</f>
        <v>242453</v>
      </c>
      <c r="CN4" s="372">
        <f>IF($G$4=0,"",$G$4+119)</f>
        <v>242456</v>
      </c>
      <c r="CO4" s="368">
        <f>IF($G$4=0,"",$G$4+120)</f>
        <v>242457</v>
      </c>
      <c r="CP4" s="368">
        <f>IF($G$4=0,"",$G$4+121)</f>
        <v>242458</v>
      </c>
      <c r="CQ4" s="368">
        <f>IF($G$4=0,"",$G$4+122)</f>
        <v>242459</v>
      </c>
      <c r="CR4" s="369">
        <f>IF($G$4=0,"",$G$4+123)</f>
        <v>242460</v>
      </c>
      <c r="CS4" s="372">
        <f>IF($G$4=0,"",$G$4+126)</f>
        <v>242463</v>
      </c>
      <c r="CT4" s="368">
        <f>IF($G$4=0,"",$G$4+127)</f>
        <v>242464</v>
      </c>
      <c r="CU4" s="368">
        <f>IF($G$4=0,"",$G$4+128)</f>
        <v>242465</v>
      </c>
      <c r="CV4" s="368">
        <f>IF($G$4=0,"",$G$4+129)</f>
        <v>242466</v>
      </c>
      <c r="CW4" s="369">
        <f>IF($G$4=0,"",$G$4+130)</f>
        <v>242467</v>
      </c>
      <c r="CX4" s="372">
        <f>IF($G$4=0,"",$G$4+133)</f>
        <v>242470</v>
      </c>
      <c r="CY4" s="368">
        <f>IF($G$4=0,"",$G$4+134)</f>
        <v>242471</v>
      </c>
      <c r="CZ4" s="368">
        <f>IF($G$4=0,"",$G$4+135)</f>
        <v>242472</v>
      </c>
      <c r="DA4" s="368">
        <f>IF($G$4=0,"",$G$4+136)</f>
        <v>242473</v>
      </c>
      <c r="DB4" s="369">
        <f>IF($G$4=0,"",$G$4+137)</f>
        <v>242474</v>
      </c>
      <c r="DC4" s="372">
        <f>IF($G$4=0,"",$G$4+140)</f>
        <v>242477</v>
      </c>
      <c r="DD4" s="368">
        <f>IF($G$4=0,"",$G$4+141)</f>
        <v>242478</v>
      </c>
      <c r="DE4" s="368">
        <f>IF($G$4=0,"",$G$4+142)</f>
        <v>242479</v>
      </c>
      <c r="DF4" s="368">
        <f>IF($G$4=0,"",$G$4+143)</f>
        <v>242480</v>
      </c>
      <c r="DG4" s="369">
        <f>IF($G$4=0,"",$G$4+144)</f>
        <v>242481</v>
      </c>
      <c r="DH4" s="372">
        <f>IF($G$4=0,"",$G$4+147)</f>
        <v>242484</v>
      </c>
      <c r="DI4" s="368">
        <f>IF($G$4=0,"",$G$4+148)</f>
        <v>242485</v>
      </c>
      <c r="DJ4" s="368">
        <f>IF($G$4=0,"",$G$4+149)</f>
        <v>242486</v>
      </c>
      <c r="DK4" s="368">
        <f>IF($G$4=0,"",$G$4+150)</f>
        <v>242487</v>
      </c>
      <c r="DL4" s="369">
        <f>IF($G$4=0,"",$G$4+151)</f>
        <v>242488</v>
      </c>
      <c r="DM4" s="614"/>
      <c r="DN4" s="617"/>
      <c r="DO4" s="617"/>
      <c r="DP4" s="617"/>
      <c r="DQ4" s="620"/>
      <c r="DR4" s="608"/>
      <c r="DU4" s="140" t="s">
        <v>171</v>
      </c>
      <c r="DV4" s="175">
        <v>4</v>
      </c>
      <c r="DW4" s="175">
        <v>4</v>
      </c>
      <c r="DX4" s="175" t="s">
        <v>234</v>
      </c>
    </row>
    <row r="5" spans="1:128" ht="18" customHeight="1" thickBot="1" x14ac:dyDescent="0.35">
      <c r="A5" s="587"/>
      <c r="B5" s="590"/>
      <c r="C5" s="593"/>
      <c r="D5" s="593"/>
      <c r="E5" s="373"/>
      <c r="F5" s="374" t="s">
        <v>212</v>
      </c>
      <c r="G5" s="375"/>
      <c r="H5" s="376"/>
      <c r="I5" s="376">
        <v>1</v>
      </c>
      <c r="J5" s="376"/>
      <c r="K5" s="377"/>
      <c r="L5" s="375"/>
      <c r="M5" s="376"/>
      <c r="N5" s="376"/>
      <c r="O5" s="376"/>
      <c r="P5" s="377"/>
      <c r="Q5" s="375"/>
      <c r="R5" s="408"/>
      <c r="S5" s="408"/>
      <c r="T5" s="408"/>
      <c r="U5" s="409"/>
      <c r="V5" s="375"/>
      <c r="W5" s="408"/>
      <c r="X5" s="408"/>
      <c r="Y5" s="408"/>
      <c r="Z5" s="409"/>
      <c r="AA5" s="375"/>
      <c r="AB5" s="408"/>
      <c r="AC5" s="408"/>
      <c r="AD5" s="408"/>
      <c r="AE5" s="409"/>
      <c r="AF5" s="375"/>
      <c r="AG5" s="408"/>
      <c r="AH5" s="408"/>
      <c r="AI5" s="408"/>
      <c r="AJ5" s="409"/>
      <c r="AK5" s="410"/>
      <c r="AL5" s="408"/>
      <c r="AM5" s="408"/>
      <c r="AN5" s="408"/>
      <c r="AO5" s="409"/>
      <c r="AP5" s="375"/>
      <c r="AQ5" s="408"/>
      <c r="AR5" s="408"/>
      <c r="AS5" s="408"/>
      <c r="AT5" s="409"/>
      <c r="AU5" s="375"/>
      <c r="AV5" s="408"/>
      <c r="AW5" s="408"/>
      <c r="AX5" s="408"/>
      <c r="AY5" s="409"/>
      <c r="AZ5" s="375"/>
      <c r="BA5" s="408"/>
      <c r="BB5" s="408"/>
      <c r="BC5" s="408"/>
      <c r="BD5" s="409"/>
      <c r="BE5" s="375"/>
      <c r="BF5" s="408"/>
      <c r="BG5" s="408"/>
      <c r="BH5" s="408"/>
      <c r="BI5" s="409"/>
      <c r="BJ5" s="375"/>
      <c r="BK5" s="408"/>
      <c r="BL5" s="408"/>
      <c r="BM5" s="408"/>
      <c r="BN5" s="409"/>
      <c r="BO5" s="410"/>
      <c r="BP5" s="408"/>
      <c r="BQ5" s="408"/>
      <c r="BR5" s="408"/>
      <c r="BS5" s="409"/>
      <c r="BT5" s="375"/>
      <c r="BU5" s="408"/>
      <c r="BV5" s="408"/>
      <c r="BW5" s="408"/>
      <c r="BX5" s="409"/>
      <c r="BY5" s="375"/>
      <c r="BZ5" s="408"/>
      <c r="CA5" s="408"/>
      <c r="CB5" s="408"/>
      <c r="CC5" s="409"/>
      <c r="CD5" s="375"/>
      <c r="CE5" s="408"/>
      <c r="CF5" s="408"/>
      <c r="CG5" s="408"/>
      <c r="CH5" s="409"/>
      <c r="CI5" s="375"/>
      <c r="CJ5" s="408"/>
      <c r="CK5" s="408"/>
      <c r="CL5" s="408"/>
      <c r="CM5" s="409"/>
      <c r="CN5" s="375"/>
      <c r="CO5" s="408"/>
      <c r="CP5" s="408"/>
      <c r="CQ5" s="408"/>
      <c r="CR5" s="409"/>
      <c r="CS5" s="375"/>
      <c r="CT5" s="408"/>
      <c r="CU5" s="408"/>
      <c r="CV5" s="408"/>
      <c r="CW5" s="409"/>
      <c r="CX5" s="375"/>
      <c r="CY5" s="408"/>
      <c r="CZ5" s="408"/>
      <c r="DA5" s="408"/>
      <c r="DB5" s="409"/>
      <c r="DC5" s="375"/>
      <c r="DD5" s="408"/>
      <c r="DE5" s="408"/>
      <c r="DF5" s="408"/>
      <c r="DG5" s="409"/>
      <c r="DH5" s="375"/>
      <c r="DI5" s="408"/>
      <c r="DJ5" s="408"/>
      <c r="DK5" s="408"/>
      <c r="DL5" s="377"/>
      <c r="DM5" s="615"/>
      <c r="DN5" s="618"/>
      <c r="DO5" s="618"/>
      <c r="DP5" s="618"/>
      <c r="DQ5" s="621"/>
      <c r="DR5" s="609"/>
      <c r="DU5" s="140" t="s">
        <v>172</v>
      </c>
      <c r="DV5" s="175">
        <v>5</v>
      </c>
      <c r="DW5" s="175">
        <v>5</v>
      </c>
    </row>
    <row r="6" spans="1:128" ht="18" customHeight="1" x14ac:dyDescent="0.3">
      <c r="A6" s="308">
        <f>ปพ.5!$A$6</f>
        <v>1</v>
      </c>
      <c r="B6" s="321" t="str">
        <f>ปพ.5!$B$6</f>
        <v>6665</v>
      </c>
      <c r="C6" s="351" t="str">
        <f>ปพ.5!$C$6</f>
        <v>1103101145462</v>
      </c>
      <c r="D6" s="576" t="str">
        <f>ปพ.5!$D$6</f>
        <v>เด็กชาย คมกฤษ  วิยะรส</v>
      </c>
      <c r="E6" s="577"/>
      <c r="F6" s="578"/>
      <c r="G6" s="311"/>
      <c r="H6" s="312"/>
      <c r="I6" s="312"/>
      <c r="J6" s="312"/>
      <c r="K6" s="313"/>
      <c r="L6" s="314"/>
      <c r="M6" s="312"/>
      <c r="N6" s="312"/>
      <c r="O6" s="312"/>
      <c r="P6" s="315"/>
      <c r="Q6" s="314"/>
      <c r="R6" s="312"/>
      <c r="S6" s="312"/>
      <c r="T6" s="312"/>
      <c r="U6" s="315"/>
      <c r="V6" s="314"/>
      <c r="W6" s="312"/>
      <c r="X6" s="312"/>
      <c r="Y6" s="312"/>
      <c r="Z6" s="315"/>
      <c r="AA6" s="314"/>
      <c r="AB6" s="312"/>
      <c r="AC6" s="312"/>
      <c r="AD6" s="312"/>
      <c r="AE6" s="315"/>
      <c r="AF6" s="314"/>
      <c r="AG6" s="312"/>
      <c r="AH6" s="312"/>
      <c r="AI6" s="312"/>
      <c r="AJ6" s="315"/>
      <c r="AK6" s="314"/>
      <c r="AL6" s="312"/>
      <c r="AM6" s="312"/>
      <c r="AN6" s="312"/>
      <c r="AO6" s="315"/>
      <c r="AP6" s="314"/>
      <c r="AQ6" s="312"/>
      <c r="AR6" s="312"/>
      <c r="AS6" s="312"/>
      <c r="AT6" s="315"/>
      <c r="AU6" s="314"/>
      <c r="AV6" s="312"/>
      <c r="AW6" s="312"/>
      <c r="AX6" s="312"/>
      <c r="AY6" s="315"/>
      <c r="AZ6" s="314"/>
      <c r="BA6" s="312"/>
      <c r="BB6" s="312"/>
      <c r="BC6" s="312"/>
      <c r="BD6" s="315"/>
      <c r="BE6" s="314"/>
      <c r="BF6" s="312"/>
      <c r="BG6" s="312"/>
      <c r="BH6" s="312"/>
      <c r="BI6" s="315"/>
      <c r="BJ6" s="314"/>
      <c r="BK6" s="312"/>
      <c r="BL6" s="312"/>
      <c r="BM6" s="312"/>
      <c r="BN6" s="315"/>
      <c r="BO6" s="314"/>
      <c r="BP6" s="312"/>
      <c r="BQ6" s="312"/>
      <c r="BR6" s="312"/>
      <c r="BS6" s="315"/>
      <c r="BT6" s="314"/>
      <c r="BU6" s="312"/>
      <c r="BV6" s="312"/>
      <c r="BW6" s="312"/>
      <c r="BX6" s="315"/>
      <c r="BY6" s="314"/>
      <c r="BZ6" s="312"/>
      <c r="CA6" s="312"/>
      <c r="CB6" s="312"/>
      <c r="CC6" s="315"/>
      <c r="CD6" s="314"/>
      <c r="CE6" s="312"/>
      <c r="CF6" s="312"/>
      <c r="CG6" s="312"/>
      <c r="CH6" s="315"/>
      <c r="CI6" s="314"/>
      <c r="CJ6" s="312"/>
      <c r="CK6" s="312"/>
      <c r="CL6" s="312"/>
      <c r="CM6" s="315"/>
      <c r="CN6" s="314"/>
      <c r="CO6" s="312"/>
      <c r="CP6" s="312"/>
      <c r="CQ6" s="312"/>
      <c r="CR6" s="315"/>
      <c r="CS6" s="314"/>
      <c r="CT6" s="312"/>
      <c r="CU6" s="312"/>
      <c r="CV6" s="312"/>
      <c r="CW6" s="315"/>
      <c r="CX6" s="314"/>
      <c r="CY6" s="312"/>
      <c r="CZ6" s="312"/>
      <c r="DA6" s="312"/>
      <c r="DB6" s="313"/>
      <c r="DC6" s="314"/>
      <c r="DD6" s="312"/>
      <c r="DE6" s="312"/>
      <c r="DF6" s="312"/>
      <c r="DG6" s="313"/>
      <c r="DH6" s="314"/>
      <c r="DI6" s="312"/>
      <c r="DJ6" s="312"/>
      <c r="DK6" s="312"/>
      <c r="DL6" s="313"/>
      <c r="DM6" s="305">
        <f>COUNTIF($G$6:$DL$6,"/")</f>
        <v>0</v>
      </c>
      <c r="DN6" s="303">
        <f>COUNTIF($G$6:$DL$6,"ป")</f>
        <v>0</v>
      </c>
      <c r="DO6" s="303">
        <f>COUNTIF($G$6:$DL$6,"ล")</f>
        <v>0</v>
      </c>
      <c r="DP6" s="303">
        <f>COUNTIF($G$6:$DL$6,"ข")</f>
        <v>0</v>
      </c>
      <c r="DQ6" s="304">
        <f>(DM6*100)/DR6</f>
        <v>0</v>
      </c>
      <c r="DR6" s="355">
        <f>COUNTA($G$5:$DL$5)</f>
        <v>1</v>
      </c>
      <c r="DU6" s="140" t="s">
        <v>173</v>
      </c>
      <c r="DV6" s="175">
        <v>6</v>
      </c>
      <c r="DW6" s="175">
        <v>6</v>
      </c>
    </row>
    <row r="7" spans="1:128" ht="18" customHeight="1" x14ac:dyDescent="0.3">
      <c r="A7" s="309">
        <f>ปพ.5!$A$7</f>
        <v>2</v>
      </c>
      <c r="B7" s="322" t="str">
        <f>ปพ.5!$B$7</f>
        <v>6666</v>
      </c>
      <c r="C7" s="352" t="str">
        <f>ปพ.5!$C$7</f>
        <v>1103200235648</v>
      </c>
      <c r="D7" s="579" t="str">
        <f>ปพ.5!$D$7</f>
        <v>เด็กชาย จักรวาล  ชะรารัตน์</v>
      </c>
      <c r="E7" s="580"/>
      <c r="F7" s="581"/>
      <c r="G7" s="311"/>
      <c r="H7" s="312"/>
      <c r="I7" s="312"/>
      <c r="J7" s="312"/>
      <c r="K7" s="313"/>
      <c r="L7" s="314"/>
      <c r="M7" s="312"/>
      <c r="N7" s="312"/>
      <c r="O7" s="312"/>
      <c r="P7" s="315"/>
      <c r="Q7" s="314"/>
      <c r="R7" s="312"/>
      <c r="S7" s="312"/>
      <c r="T7" s="312"/>
      <c r="U7" s="315"/>
      <c r="V7" s="314"/>
      <c r="W7" s="312"/>
      <c r="X7" s="312"/>
      <c r="Y7" s="312"/>
      <c r="Z7" s="315"/>
      <c r="AA7" s="314"/>
      <c r="AB7" s="312"/>
      <c r="AC7" s="312"/>
      <c r="AD7" s="312"/>
      <c r="AE7" s="315"/>
      <c r="AF7" s="314"/>
      <c r="AG7" s="312"/>
      <c r="AH7" s="312"/>
      <c r="AI7" s="312"/>
      <c r="AJ7" s="315"/>
      <c r="AK7" s="314"/>
      <c r="AL7" s="312"/>
      <c r="AM7" s="312"/>
      <c r="AN7" s="312"/>
      <c r="AO7" s="315"/>
      <c r="AP7" s="314"/>
      <c r="AQ7" s="312"/>
      <c r="AR7" s="312"/>
      <c r="AS7" s="312"/>
      <c r="AT7" s="315"/>
      <c r="AU7" s="314"/>
      <c r="AV7" s="312"/>
      <c r="AW7" s="312"/>
      <c r="AX7" s="312"/>
      <c r="AY7" s="315"/>
      <c r="AZ7" s="314"/>
      <c r="BA7" s="312"/>
      <c r="BB7" s="312"/>
      <c r="BC7" s="312"/>
      <c r="BD7" s="315"/>
      <c r="BE7" s="314"/>
      <c r="BF7" s="312"/>
      <c r="BG7" s="312"/>
      <c r="BH7" s="312"/>
      <c r="BI7" s="315"/>
      <c r="BJ7" s="314"/>
      <c r="BK7" s="312"/>
      <c r="BL7" s="312"/>
      <c r="BM7" s="312"/>
      <c r="BN7" s="315"/>
      <c r="BO7" s="314"/>
      <c r="BP7" s="312"/>
      <c r="BQ7" s="312"/>
      <c r="BR7" s="312"/>
      <c r="BS7" s="315"/>
      <c r="BT7" s="314"/>
      <c r="BU7" s="312"/>
      <c r="BV7" s="312"/>
      <c r="BW7" s="312"/>
      <c r="BX7" s="315"/>
      <c r="BY7" s="314"/>
      <c r="BZ7" s="312"/>
      <c r="CA7" s="312"/>
      <c r="CB7" s="312"/>
      <c r="CC7" s="315"/>
      <c r="CD7" s="314"/>
      <c r="CE7" s="312"/>
      <c r="CF7" s="312"/>
      <c r="CG7" s="312"/>
      <c r="CH7" s="315"/>
      <c r="CI7" s="314"/>
      <c r="CJ7" s="312"/>
      <c r="CK7" s="312"/>
      <c r="CL7" s="312"/>
      <c r="CM7" s="315"/>
      <c r="CN7" s="314"/>
      <c r="CO7" s="312"/>
      <c r="CP7" s="312"/>
      <c r="CQ7" s="312"/>
      <c r="CR7" s="315"/>
      <c r="CS7" s="314"/>
      <c r="CT7" s="312"/>
      <c r="CU7" s="312"/>
      <c r="CV7" s="312"/>
      <c r="CW7" s="315"/>
      <c r="CX7" s="314"/>
      <c r="CY7" s="312"/>
      <c r="CZ7" s="312"/>
      <c r="DA7" s="312"/>
      <c r="DB7" s="313"/>
      <c r="DC7" s="314"/>
      <c r="DD7" s="312"/>
      <c r="DE7" s="312"/>
      <c r="DF7" s="312"/>
      <c r="DG7" s="313"/>
      <c r="DH7" s="314"/>
      <c r="DI7" s="312"/>
      <c r="DJ7" s="312"/>
      <c r="DK7" s="312"/>
      <c r="DL7" s="313"/>
      <c r="DM7" s="305">
        <f>COUNTIF($G$7:$DL$7,"/")</f>
        <v>0</v>
      </c>
      <c r="DN7" s="305">
        <f>COUNTIF($G$7:$DL$7,"ป")</f>
        <v>0</v>
      </c>
      <c r="DO7" s="305">
        <f>COUNTIF($G$7:$DL$7,"ล")</f>
        <v>0</v>
      </c>
      <c r="DP7" s="305">
        <f>COUNTIF($G$7:$DL$7,"ข")</f>
        <v>0</v>
      </c>
      <c r="DQ7" s="304">
        <f>(DM7*100)/DR7</f>
        <v>0</v>
      </c>
      <c r="DR7" s="355">
        <f t="shared" ref="DR7:DR55" si="0">COUNTA($G$5:$DL$5)</f>
        <v>1</v>
      </c>
      <c r="DU7" s="140" t="s">
        <v>174</v>
      </c>
      <c r="DV7" s="175">
        <v>7</v>
      </c>
      <c r="DW7" s="175">
        <v>7</v>
      </c>
    </row>
    <row r="8" spans="1:128" ht="18" customHeight="1" x14ac:dyDescent="0.3">
      <c r="A8" s="309">
        <f>ปพ.5!$A$8</f>
        <v>3</v>
      </c>
      <c r="B8" s="322" t="str">
        <f>ปพ.5!$B$8</f>
        <v>6668</v>
      </c>
      <c r="C8" s="352" t="str">
        <f>ปพ.5!$C$8</f>
        <v>1103200242431</v>
      </c>
      <c r="D8" s="582" t="str">
        <f>ปพ.5!$D$8</f>
        <v>เด็กชาย ธนกฤต  เที่ยงตรงดี</v>
      </c>
      <c r="E8" s="583"/>
      <c r="F8" s="584"/>
      <c r="G8" s="311"/>
      <c r="H8" s="312"/>
      <c r="I8" s="312"/>
      <c r="J8" s="312"/>
      <c r="K8" s="313"/>
      <c r="L8" s="314"/>
      <c r="M8" s="312"/>
      <c r="N8" s="312"/>
      <c r="O8" s="312"/>
      <c r="P8" s="315"/>
      <c r="Q8" s="314"/>
      <c r="R8" s="312"/>
      <c r="S8" s="312"/>
      <c r="T8" s="312"/>
      <c r="U8" s="315"/>
      <c r="V8" s="314"/>
      <c r="W8" s="312"/>
      <c r="X8" s="312"/>
      <c r="Y8" s="312"/>
      <c r="Z8" s="315"/>
      <c r="AA8" s="314"/>
      <c r="AB8" s="312"/>
      <c r="AC8" s="312"/>
      <c r="AD8" s="312"/>
      <c r="AE8" s="315"/>
      <c r="AF8" s="314"/>
      <c r="AG8" s="312"/>
      <c r="AH8" s="312"/>
      <c r="AI8" s="312"/>
      <c r="AJ8" s="315"/>
      <c r="AK8" s="314"/>
      <c r="AL8" s="312"/>
      <c r="AM8" s="312"/>
      <c r="AN8" s="312"/>
      <c r="AO8" s="315"/>
      <c r="AP8" s="314"/>
      <c r="AQ8" s="312"/>
      <c r="AR8" s="312"/>
      <c r="AS8" s="312"/>
      <c r="AT8" s="315"/>
      <c r="AU8" s="314"/>
      <c r="AV8" s="312"/>
      <c r="AW8" s="312"/>
      <c r="AX8" s="312"/>
      <c r="AY8" s="315"/>
      <c r="AZ8" s="314"/>
      <c r="BA8" s="312"/>
      <c r="BB8" s="312"/>
      <c r="BC8" s="312"/>
      <c r="BD8" s="315"/>
      <c r="BE8" s="314"/>
      <c r="BF8" s="312"/>
      <c r="BG8" s="312"/>
      <c r="BH8" s="312"/>
      <c r="BI8" s="315"/>
      <c r="BJ8" s="314"/>
      <c r="BK8" s="312"/>
      <c r="BL8" s="312"/>
      <c r="BM8" s="312"/>
      <c r="BN8" s="315"/>
      <c r="BO8" s="314"/>
      <c r="BP8" s="312"/>
      <c r="BQ8" s="312"/>
      <c r="BR8" s="312"/>
      <c r="BS8" s="315"/>
      <c r="BT8" s="314"/>
      <c r="BU8" s="312"/>
      <c r="BV8" s="312"/>
      <c r="BW8" s="312"/>
      <c r="BX8" s="315"/>
      <c r="BY8" s="314"/>
      <c r="BZ8" s="312"/>
      <c r="CA8" s="312"/>
      <c r="CB8" s="312"/>
      <c r="CC8" s="315"/>
      <c r="CD8" s="314"/>
      <c r="CE8" s="312"/>
      <c r="CF8" s="312"/>
      <c r="CG8" s="312"/>
      <c r="CH8" s="315"/>
      <c r="CI8" s="314"/>
      <c r="CJ8" s="312"/>
      <c r="CK8" s="312"/>
      <c r="CL8" s="312"/>
      <c r="CM8" s="315"/>
      <c r="CN8" s="314"/>
      <c r="CO8" s="312"/>
      <c r="CP8" s="312"/>
      <c r="CQ8" s="312"/>
      <c r="CR8" s="315"/>
      <c r="CS8" s="314"/>
      <c r="CT8" s="312"/>
      <c r="CU8" s="312"/>
      <c r="CV8" s="312"/>
      <c r="CW8" s="315"/>
      <c r="CX8" s="314"/>
      <c r="CY8" s="312"/>
      <c r="CZ8" s="312"/>
      <c r="DA8" s="312"/>
      <c r="DB8" s="313"/>
      <c r="DC8" s="314"/>
      <c r="DD8" s="312"/>
      <c r="DE8" s="312"/>
      <c r="DF8" s="312"/>
      <c r="DG8" s="313"/>
      <c r="DH8" s="314"/>
      <c r="DI8" s="312"/>
      <c r="DJ8" s="312"/>
      <c r="DK8" s="312"/>
      <c r="DL8" s="313"/>
      <c r="DM8" s="305">
        <f>COUNTIF($G$8:$DL$8,"/")</f>
        <v>0</v>
      </c>
      <c r="DN8" s="305">
        <f>COUNTIF($G$8:$DL$8,"ป")</f>
        <v>0</v>
      </c>
      <c r="DO8" s="305">
        <f>COUNTIF($G$8:$DL$8,"ล")</f>
        <v>0</v>
      </c>
      <c r="DP8" s="305">
        <f>COUNTIF($G$8:$DL$8,"ข")</f>
        <v>0</v>
      </c>
      <c r="DQ8" s="304">
        <f t="shared" ref="DQ8:DQ55" si="1">(DM8*100)/DR8</f>
        <v>0</v>
      </c>
      <c r="DR8" s="355">
        <f t="shared" si="0"/>
        <v>1</v>
      </c>
      <c r="DU8" s="140" t="s">
        <v>167</v>
      </c>
      <c r="DV8" s="175">
        <v>8</v>
      </c>
      <c r="DW8" s="175">
        <v>8</v>
      </c>
    </row>
    <row r="9" spans="1:128" ht="18" customHeight="1" x14ac:dyDescent="0.3">
      <c r="A9" s="309">
        <f>ปพ.5!$A$9</f>
        <v>4</v>
      </c>
      <c r="B9" s="322" t="str">
        <f>ปพ.5!$B$9</f>
        <v>6669</v>
      </c>
      <c r="C9" s="352" t="str">
        <f>ปพ.5!$C$9</f>
        <v>1100704228022</v>
      </c>
      <c r="D9" s="582" t="str">
        <f>ปพ.5!$D$9</f>
        <v>เด็กชาย พชร  บุญสนอง</v>
      </c>
      <c r="E9" s="583"/>
      <c r="F9" s="584"/>
      <c r="G9" s="311"/>
      <c r="H9" s="312"/>
      <c r="I9" s="312"/>
      <c r="J9" s="312"/>
      <c r="K9" s="313"/>
      <c r="L9" s="314"/>
      <c r="M9" s="312"/>
      <c r="N9" s="312"/>
      <c r="O9" s="312"/>
      <c r="P9" s="315"/>
      <c r="Q9" s="314"/>
      <c r="R9" s="312"/>
      <c r="S9" s="312"/>
      <c r="T9" s="312"/>
      <c r="U9" s="315"/>
      <c r="V9" s="314"/>
      <c r="W9" s="312"/>
      <c r="X9" s="312"/>
      <c r="Y9" s="312"/>
      <c r="Z9" s="315"/>
      <c r="AA9" s="314"/>
      <c r="AB9" s="312"/>
      <c r="AC9" s="312"/>
      <c r="AD9" s="312"/>
      <c r="AE9" s="315"/>
      <c r="AF9" s="314"/>
      <c r="AG9" s="312"/>
      <c r="AH9" s="312"/>
      <c r="AI9" s="312"/>
      <c r="AJ9" s="315"/>
      <c r="AK9" s="314"/>
      <c r="AL9" s="312"/>
      <c r="AM9" s="312"/>
      <c r="AN9" s="312"/>
      <c r="AO9" s="315"/>
      <c r="AP9" s="314"/>
      <c r="AQ9" s="312"/>
      <c r="AR9" s="312"/>
      <c r="AS9" s="312"/>
      <c r="AT9" s="315"/>
      <c r="AU9" s="314"/>
      <c r="AV9" s="312"/>
      <c r="AW9" s="312"/>
      <c r="AX9" s="312"/>
      <c r="AY9" s="315"/>
      <c r="AZ9" s="314"/>
      <c r="BA9" s="312"/>
      <c r="BB9" s="312"/>
      <c r="BC9" s="312"/>
      <c r="BD9" s="315"/>
      <c r="BE9" s="314"/>
      <c r="BF9" s="312"/>
      <c r="BG9" s="312"/>
      <c r="BH9" s="312"/>
      <c r="BI9" s="315"/>
      <c r="BJ9" s="314"/>
      <c r="BK9" s="312"/>
      <c r="BL9" s="312"/>
      <c r="BM9" s="312"/>
      <c r="BN9" s="315"/>
      <c r="BO9" s="314"/>
      <c r="BP9" s="312"/>
      <c r="BQ9" s="312"/>
      <c r="BR9" s="312"/>
      <c r="BS9" s="315"/>
      <c r="BT9" s="314"/>
      <c r="BU9" s="312"/>
      <c r="BV9" s="312"/>
      <c r="BW9" s="312"/>
      <c r="BX9" s="315"/>
      <c r="BY9" s="314"/>
      <c r="BZ9" s="312"/>
      <c r="CA9" s="312"/>
      <c r="CB9" s="312"/>
      <c r="CC9" s="315"/>
      <c r="CD9" s="314"/>
      <c r="CE9" s="312"/>
      <c r="CF9" s="312"/>
      <c r="CG9" s="312"/>
      <c r="CH9" s="315"/>
      <c r="CI9" s="314"/>
      <c r="CJ9" s="312"/>
      <c r="CK9" s="312"/>
      <c r="CL9" s="312"/>
      <c r="CM9" s="315"/>
      <c r="CN9" s="314"/>
      <c r="CO9" s="312"/>
      <c r="CP9" s="312"/>
      <c r="CQ9" s="312"/>
      <c r="CR9" s="315"/>
      <c r="CS9" s="314"/>
      <c r="CT9" s="312"/>
      <c r="CU9" s="312"/>
      <c r="CV9" s="312"/>
      <c r="CW9" s="315"/>
      <c r="CX9" s="314"/>
      <c r="CY9" s="312"/>
      <c r="CZ9" s="312"/>
      <c r="DA9" s="312"/>
      <c r="DB9" s="313"/>
      <c r="DC9" s="314"/>
      <c r="DD9" s="312"/>
      <c r="DE9" s="312"/>
      <c r="DF9" s="312"/>
      <c r="DG9" s="313"/>
      <c r="DH9" s="314"/>
      <c r="DI9" s="312"/>
      <c r="DJ9" s="312"/>
      <c r="DK9" s="312"/>
      <c r="DL9" s="313"/>
      <c r="DM9" s="305">
        <f>COUNTIF($G$9:$DL$9,"/")</f>
        <v>0</v>
      </c>
      <c r="DN9" s="305">
        <f>COUNTIF($G$9:$DL$9,"ป")</f>
        <v>0</v>
      </c>
      <c r="DO9" s="305">
        <f>COUNTIF($G$9:$DL$9,"ล")</f>
        <v>0</v>
      </c>
      <c r="DP9" s="305">
        <f>COUNTIF($G$9:$DL$9,"ข")</f>
        <v>0</v>
      </c>
      <c r="DQ9" s="304">
        <f t="shared" si="1"/>
        <v>0</v>
      </c>
      <c r="DR9" s="355">
        <f t="shared" si="0"/>
        <v>1</v>
      </c>
      <c r="DU9" s="140" t="s">
        <v>175</v>
      </c>
      <c r="DV9" s="175">
        <v>9</v>
      </c>
      <c r="DW9" s="175">
        <v>9</v>
      </c>
    </row>
    <row r="10" spans="1:128" ht="18" customHeight="1" x14ac:dyDescent="0.3">
      <c r="A10" s="309">
        <f>ปพ.5!$A$10</f>
        <v>5</v>
      </c>
      <c r="B10" s="322" t="str">
        <f>ปพ.5!$B$10</f>
        <v>6670</v>
      </c>
      <c r="C10" s="352" t="str">
        <f>ปพ.5!$C$10</f>
        <v>1100704246624</v>
      </c>
      <c r="D10" s="582" t="str">
        <f>ปพ.5!$D$10</f>
        <v>เด็กชาย รัชชากร  ผลนา</v>
      </c>
      <c r="E10" s="583"/>
      <c r="F10" s="584"/>
      <c r="G10" s="311"/>
      <c r="H10" s="312"/>
      <c r="I10" s="312"/>
      <c r="J10" s="312"/>
      <c r="K10" s="313"/>
      <c r="L10" s="314"/>
      <c r="M10" s="312"/>
      <c r="N10" s="312"/>
      <c r="O10" s="312"/>
      <c r="P10" s="315"/>
      <c r="Q10" s="314"/>
      <c r="R10" s="312"/>
      <c r="S10" s="312"/>
      <c r="T10" s="312"/>
      <c r="U10" s="315"/>
      <c r="V10" s="314"/>
      <c r="W10" s="312"/>
      <c r="X10" s="312"/>
      <c r="Y10" s="312"/>
      <c r="Z10" s="315"/>
      <c r="AA10" s="314"/>
      <c r="AB10" s="312"/>
      <c r="AC10" s="312"/>
      <c r="AD10" s="312"/>
      <c r="AE10" s="315"/>
      <c r="AF10" s="314"/>
      <c r="AG10" s="312"/>
      <c r="AH10" s="312"/>
      <c r="AI10" s="312"/>
      <c r="AJ10" s="315"/>
      <c r="AK10" s="314"/>
      <c r="AL10" s="312"/>
      <c r="AM10" s="312"/>
      <c r="AN10" s="312"/>
      <c r="AO10" s="315"/>
      <c r="AP10" s="314"/>
      <c r="AQ10" s="312"/>
      <c r="AR10" s="312"/>
      <c r="AS10" s="312"/>
      <c r="AT10" s="315"/>
      <c r="AU10" s="314"/>
      <c r="AV10" s="312"/>
      <c r="AW10" s="312"/>
      <c r="AX10" s="312"/>
      <c r="AY10" s="315"/>
      <c r="AZ10" s="314"/>
      <c r="BA10" s="312"/>
      <c r="BB10" s="312"/>
      <c r="BC10" s="312"/>
      <c r="BD10" s="315"/>
      <c r="BE10" s="314"/>
      <c r="BF10" s="312"/>
      <c r="BG10" s="312"/>
      <c r="BH10" s="312"/>
      <c r="BI10" s="315"/>
      <c r="BJ10" s="314"/>
      <c r="BK10" s="312"/>
      <c r="BL10" s="312"/>
      <c r="BM10" s="312"/>
      <c r="BN10" s="315"/>
      <c r="BO10" s="314"/>
      <c r="BP10" s="312"/>
      <c r="BQ10" s="312"/>
      <c r="BR10" s="312"/>
      <c r="BS10" s="315"/>
      <c r="BT10" s="314"/>
      <c r="BU10" s="312"/>
      <c r="BV10" s="312"/>
      <c r="BW10" s="312"/>
      <c r="BX10" s="315"/>
      <c r="BY10" s="314"/>
      <c r="BZ10" s="312"/>
      <c r="CA10" s="312"/>
      <c r="CB10" s="312"/>
      <c r="CC10" s="315"/>
      <c r="CD10" s="314"/>
      <c r="CE10" s="312"/>
      <c r="CF10" s="312"/>
      <c r="CG10" s="312"/>
      <c r="CH10" s="315"/>
      <c r="CI10" s="314"/>
      <c r="CJ10" s="312"/>
      <c r="CK10" s="312"/>
      <c r="CL10" s="312"/>
      <c r="CM10" s="315"/>
      <c r="CN10" s="314"/>
      <c r="CO10" s="312"/>
      <c r="CP10" s="312"/>
      <c r="CQ10" s="312"/>
      <c r="CR10" s="315"/>
      <c r="CS10" s="314"/>
      <c r="CT10" s="312"/>
      <c r="CU10" s="312"/>
      <c r="CV10" s="312"/>
      <c r="CW10" s="315"/>
      <c r="CX10" s="314"/>
      <c r="CY10" s="312"/>
      <c r="CZ10" s="312"/>
      <c r="DA10" s="312"/>
      <c r="DB10" s="313"/>
      <c r="DC10" s="314"/>
      <c r="DD10" s="312"/>
      <c r="DE10" s="312"/>
      <c r="DF10" s="312"/>
      <c r="DG10" s="313"/>
      <c r="DH10" s="314"/>
      <c r="DI10" s="312"/>
      <c r="DJ10" s="312"/>
      <c r="DK10" s="312"/>
      <c r="DL10" s="313"/>
      <c r="DM10" s="305">
        <f>COUNTIF($G$10:$DL$10,"/")</f>
        <v>0</v>
      </c>
      <c r="DN10" s="305">
        <f>COUNTIF($G$10:$DL$10,"ป")</f>
        <v>0</v>
      </c>
      <c r="DO10" s="305">
        <f>COUNTIF($G$10:$DL$10,"ล")</f>
        <v>0</v>
      </c>
      <c r="DP10" s="305">
        <f>COUNTIF($G$10:$DL$10,"ข")</f>
        <v>0</v>
      </c>
      <c r="DQ10" s="304">
        <f t="shared" si="1"/>
        <v>0</v>
      </c>
      <c r="DR10" s="355">
        <f t="shared" si="0"/>
        <v>1</v>
      </c>
      <c r="DU10" s="140" t="s">
        <v>176</v>
      </c>
      <c r="DV10" s="175">
        <v>10</v>
      </c>
      <c r="DW10" s="175">
        <v>10</v>
      </c>
    </row>
    <row r="11" spans="1:128" ht="18" customHeight="1" x14ac:dyDescent="0.3">
      <c r="A11" s="309">
        <f>ปพ.5!$A$11</f>
        <v>6</v>
      </c>
      <c r="B11" s="322" t="str">
        <f>ปพ.5!$B$11</f>
        <v>6678</v>
      </c>
      <c r="C11" s="352" t="str">
        <f>ปพ.5!$C$11</f>
        <v>1103200213059</v>
      </c>
      <c r="D11" s="582" t="str">
        <f>ปพ.5!$D$11</f>
        <v>เด็กชาย อาทิตย์  ก้านมะยุระ</v>
      </c>
      <c r="E11" s="583"/>
      <c r="F11" s="584"/>
      <c r="G11" s="311"/>
      <c r="H11" s="312"/>
      <c r="I11" s="312"/>
      <c r="J11" s="312"/>
      <c r="K11" s="313"/>
      <c r="L11" s="314"/>
      <c r="M11" s="312"/>
      <c r="N11" s="312"/>
      <c r="O11" s="312"/>
      <c r="P11" s="315"/>
      <c r="Q11" s="314"/>
      <c r="R11" s="312"/>
      <c r="S11" s="312"/>
      <c r="T11" s="312"/>
      <c r="U11" s="315"/>
      <c r="V11" s="314"/>
      <c r="W11" s="312"/>
      <c r="X11" s="312"/>
      <c r="Y11" s="312"/>
      <c r="Z11" s="315"/>
      <c r="AA11" s="314"/>
      <c r="AB11" s="312"/>
      <c r="AC11" s="312"/>
      <c r="AD11" s="312"/>
      <c r="AE11" s="315"/>
      <c r="AF11" s="314"/>
      <c r="AG11" s="312"/>
      <c r="AH11" s="312"/>
      <c r="AI11" s="312"/>
      <c r="AJ11" s="315"/>
      <c r="AK11" s="314"/>
      <c r="AL11" s="312"/>
      <c r="AM11" s="312"/>
      <c r="AN11" s="312"/>
      <c r="AO11" s="315"/>
      <c r="AP11" s="314"/>
      <c r="AQ11" s="312"/>
      <c r="AR11" s="312"/>
      <c r="AS11" s="312"/>
      <c r="AT11" s="315"/>
      <c r="AU11" s="314"/>
      <c r="AV11" s="312"/>
      <c r="AW11" s="312"/>
      <c r="AX11" s="312"/>
      <c r="AY11" s="315"/>
      <c r="AZ11" s="314"/>
      <c r="BA11" s="312"/>
      <c r="BB11" s="312"/>
      <c r="BC11" s="312"/>
      <c r="BD11" s="315"/>
      <c r="BE11" s="314"/>
      <c r="BF11" s="312"/>
      <c r="BG11" s="312"/>
      <c r="BH11" s="312"/>
      <c r="BI11" s="315"/>
      <c r="BJ11" s="314"/>
      <c r="BK11" s="312"/>
      <c r="BL11" s="312"/>
      <c r="BM11" s="312"/>
      <c r="BN11" s="315"/>
      <c r="BO11" s="314"/>
      <c r="BP11" s="312"/>
      <c r="BQ11" s="312"/>
      <c r="BR11" s="312"/>
      <c r="BS11" s="315"/>
      <c r="BT11" s="314"/>
      <c r="BU11" s="312"/>
      <c r="BV11" s="312"/>
      <c r="BW11" s="312"/>
      <c r="BX11" s="315"/>
      <c r="BY11" s="314"/>
      <c r="BZ11" s="312"/>
      <c r="CA11" s="312"/>
      <c r="CB11" s="312"/>
      <c r="CC11" s="315"/>
      <c r="CD11" s="314"/>
      <c r="CE11" s="312"/>
      <c r="CF11" s="312"/>
      <c r="CG11" s="312"/>
      <c r="CH11" s="315"/>
      <c r="CI11" s="314"/>
      <c r="CJ11" s="312"/>
      <c r="CK11" s="312"/>
      <c r="CL11" s="312"/>
      <c r="CM11" s="315"/>
      <c r="CN11" s="314"/>
      <c r="CO11" s="312"/>
      <c r="CP11" s="312"/>
      <c r="CQ11" s="312"/>
      <c r="CR11" s="315"/>
      <c r="CS11" s="314"/>
      <c r="CT11" s="312"/>
      <c r="CU11" s="312"/>
      <c r="CV11" s="312"/>
      <c r="CW11" s="315"/>
      <c r="CX11" s="314"/>
      <c r="CY11" s="312"/>
      <c r="CZ11" s="312"/>
      <c r="DA11" s="312"/>
      <c r="DB11" s="313"/>
      <c r="DC11" s="314"/>
      <c r="DD11" s="312"/>
      <c r="DE11" s="312"/>
      <c r="DF11" s="312"/>
      <c r="DG11" s="313"/>
      <c r="DH11" s="314"/>
      <c r="DI11" s="312"/>
      <c r="DJ11" s="312"/>
      <c r="DK11" s="312"/>
      <c r="DL11" s="313"/>
      <c r="DM11" s="305">
        <f>COUNTIF($G$11:$DL$11,"/")</f>
        <v>0</v>
      </c>
      <c r="DN11" s="305">
        <f>COUNTIF($G$11:$DL$11,"ป")</f>
        <v>0</v>
      </c>
      <c r="DO11" s="305">
        <f>COUNTIF($G$11:$DL$11,"ล")</f>
        <v>0</v>
      </c>
      <c r="DP11" s="305">
        <f>COUNTIF($G$11:$DL$11,"ข")</f>
        <v>0</v>
      </c>
      <c r="DQ11" s="304">
        <f t="shared" si="1"/>
        <v>0</v>
      </c>
      <c r="DR11" s="355">
        <f t="shared" si="0"/>
        <v>1</v>
      </c>
      <c r="DU11" s="140" t="s">
        <v>177</v>
      </c>
      <c r="DV11" s="175">
        <v>11</v>
      </c>
      <c r="DW11" s="175">
        <v>11</v>
      </c>
    </row>
    <row r="12" spans="1:128" ht="18" customHeight="1" x14ac:dyDescent="0.3">
      <c r="A12" s="309">
        <f>ปพ.5!$A$12</f>
        <v>7</v>
      </c>
      <c r="B12" s="322" t="str">
        <f>ปพ.5!$B$12</f>
        <v>6684</v>
      </c>
      <c r="C12" s="352" t="str">
        <f>ปพ.5!$C$12</f>
        <v>1103200214284</v>
      </c>
      <c r="D12" s="582" t="str">
        <f>ปพ.5!$D$12</f>
        <v>เด็กหญิง จิรัชญา  เมฆหมอก</v>
      </c>
      <c r="E12" s="583"/>
      <c r="F12" s="584"/>
      <c r="G12" s="311"/>
      <c r="H12" s="312"/>
      <c r="I12" s="312"/>
      <c r="J12" s="312"/>
      <c r="K12" s="313"/>
      <c r="L12" s="314"/>
      <c r="M12" s="312"/>
      <c r="N12" s="312"/>
      <c r="O12" s="312"/>
      <c r="P12" s="315"/>
      <c r="Q12" s="314"/>
      <c r="R12" s="312"/>
      <c r="S12" s="312"/>
      <c r="T12" s="312"/>
      <c r="U12" s="315"/>
      <c r="V12" s="314"/>
      <c r="W12" s="312"/>
      <c r="X12" s="312"/>
      <c r="Y12" s="312"/>
      <c r="Z12" s="315"/>
      <c r="AA12" s="314"/>
      <c r="AB12" s="312"/>
      <c r="AC12" s="312"/>
      <c r="AD12" s="312"/>
      <c r="AE12" s="315"/>
      <c r="AF12" s="314"/>
      <c r="AG12" s="312"/>
      <c r="AH12" s="312"/>
      <c r="AI12" s="312"/>
      <c r="AJ12" s="315"/>
      <c r="AK12" s="314"/>
      <c r="AL12" s="312"/>
      <c r="AM12" s="312"/>
      <c r="AN12" s="312"/>
      <c r="AO12" s="315"/>
      <c r="AP12" s="314"/>
      <c r="AQ12" s="312"/>
      <c r="AR12" s="312"/>
      <c r="AS12" s="312"/>
      <c r="AT12" s="315"/>
      <c r="AU12" s="314"/>
      <c r="AV12" s="312"/>
      <c r="AW12" s="312"/>
      <c r="AX12" s="312"/>
      <c r="AY12" s="315"/>
      <c r="AZ12" s="314"/>
      <c r="BA12" s="312"/>
      <c r="BB12" s="312"/>
      <c r="BC12" s="312"/>
      <c r="BD12" s="315"/>
      <c r="BE12" s="314"/>
      <c r="BF12" s="312"/>
      <c r="BG12" s="312"/>
      <c r="BH12" s="312"/>
      <c r="BI12" s="315"/>
      <c r="BJ12" s="314"/>
      <c r="BK12" s="312"/>
      <c r="BL12" s="312"/>
      <c r="BM12" s="312"/>
      <c r="BN12" s="315"/>
      <c r="BO12" s="314"/>
      <c r="BP12" s="312"/>
      <c r="BQ12" s="312"/>
      <c r="BR12" s="312"/>
      <c r="BS12" s="315"/>
      <c r="BT12" s="314"/>
      <c r="BU12" s="312"/>
      <c r="BV12" s="312"/>
      <c r="BW12" s="312"/>
      <c r="BX12" s="315"/>
      <c r="BY12" s="314"/>
      <c r="BZ12" s="312"/>
      <c r="CA12" s="312"/>
      <c r="CB12" s="312"/>
      <c r="CC12" s="315"/>
      <c r="CD12" s="314"/>
      <c r="CE12" s="312"/>
      <c r="CF12" s="312"/>
      <c r="CG12" s="312"/>
      <c r="CH12" s="315"/>
      <c r="CI12" s="314"/>
      <c r="CJ12" s="312"/>
      <c r="CK12" s="312"/>
      <c r="CL12" s="312"/>
      <c r="CM12" s="315"/>
      <c r="CN12" s="314"/>
      <c r="CO12" s="312"/>
      <c r="CP12" s="312"/>
      <c r="CQ12" s="312"/>
      <c r="CR12" s="315"/>
      <c r="CS12" s="314"/>
      <c r="CT12" s="312"/>
      <c r="CU12" s="312"/>
      <c r="CV12" s="312"/>
      <c r="CW12" s="315"/>
      <c r="CX12" s="314"/>
      <c r="CY12" s="312"/>
      <c r="CZ12" s="312"/>
      <c r="DA12" s="312"/>
      <c r="DB12" s="313"/>
      <c r="DC12" s="314"/>
      <c r="DD12" s="312"/>
      <c r="DE12" s="312"/>
      <c r="DF12" s="312"/>
      <c r="DG12" s="313"/>
      <c r="DH12" s="314"/>
      <c r="DI12" s="312"/>
      <c r="DJ12" s="312"/>
      <c r="DK12" s="312"/>
      <c r="DL12" s="313"/>
      <c r="DM12" s="305">
        <f>COUNTIF($G$12:$DL$12,"/")</f>
        <v>0</v>
      </c>
      <c r="DN12" s="305">
        <f>COUNTIF($G$12:$DL$12,"ป")</f>
        <v>0</v>
      </c>
      <c r="DO12" s="305">
        <f>COUNTIF($G$12:$DL$12,"ล")</f>
        <v>0</v>
      </c>
      <c r="DP12" s="305">
        <f>COUNTIF($G$12:$DL$12,"ข")</f>
        <v>0</v>
      </c>
      <c r="DQ12" s="304">
        <f t="shared" si="1"/>
        <v>0</v>
      </c>
      <c r="DR12" s="355">
        <f t="shared" si="0"/>
        <v>1</v>
      </c>
      <c r="DU12" s="140" t="s">
        <v>178</v>
      </c>
      <c r="DV12" s="175">
        <v>12</v>
      </c>
      <c r="DW12" s="175">
        <v>12</v>
      </c>
    </row>
    <row r="13" spans="1:128" ht="18" customHeight="1" x14ac:dyDescent="0.3">
      <c r="A13" s="309">
        <f>ปพ.5!$A$13</f>
        <v>8</v>
      </c>
      <c r="B13" s="322" t="str">
        <f>ปพ.5!$B$13</f>
        <v>6691</v>
      </c>
      <c r="C13" s="352" t="str">
        <f>ปพ.5!$C$13</f>
        <v>1103704638509</v>
      </c>
      <c r="D13" s="582" t="str">
        <f>ปพ.5!$D$13</f>
        <v>เด็กหญิง สิรินทรา  สถิตถาวรกุล</v>
      </c>
      <c r="E13" s="583"/>
      <c r="F13" s="584"/>
      <c r="G13" s="311"/>
      <c r="H13" s="312"/>
      <c r="I13" s="312"/>
      <c r="J13" s="312"/>
      <c r="K13" s="313"/>
      <c r="L13" s="314"/>
      <c r="M13" s="312"/>
      <c r="N13" s="312"/>
      <c r="O13" s="312"/>
      <c r="P13" s="315"/>
      <c r="Q13" s="314"/>
      <c r="R13" s="312"/>
      <c r="S13" s="312"/>
      <c r="T13" s="312"/>
      <c r="U13" s="315"/>
      <c r="V13" s="314"/>
      <c r="W13" s="312"/>
      <c r="X13" s="312"/>
      <c r="Y13" s="312"/>
      <c r="Z13" s="315"/>
      <c r="AA13" s="314"/>
      <c r="AB13" s="312"/>
      <c r="AC13" s="312"/>
      <c r="AD13" s="312"/>
      <c r="AE13" s="315"/>
      <c r="AF13" s="314"/>
      <c r="AG13" s="312"/>
      <c r="AH13" s="312"/>
      <c r="AI13" s="312"/>
      <c r="AJ13" s="315"/>
      <c r="AK13" s="314"/>
      <c r="AL13" s="312"/>
      <c r="AM13" s="312"/>
      <c r="AN13" s="312"/>
      <c r="AO13" s="315"/>
      <c r="AP13" s="314"/>
      <c r="AQ13" s="312"/>
      <c r="AR13" s="312"/>
      <c r="AS13" s="312"/>
      <c r="AT13" s="315"/>
      <c r="AU13" s="314"/>
      <c r="AV13" s="312"/>
      <c r="AW13" s="312"/>
      <c r="AX13" s="312"/>
      <c r="AY13" s="315"/>
      <c r="AZ13" s="314"/>
      <c r="BA13" s="312"/>
      <c r="BB13" s="312"/>
      <c r="BC13" s="312"/>
      <c r="BD13" s="315"/>
      <c r="BE13" s="314"/>
      <c r="BF13" s="312"/>
      <c r="BG13" s="312"/>
      <c r="BH13" s="312"/>
      <c r="BI13" s="315"/>
      <c r="BJ13" s="314"/>
      <c r="BK13" s="312"/>
      <c r="BL13" s="312"/>
      <c r="BM13" s="312"/>
      <c r="BN13" s="315"/>
      <c r="BO13" s="314"/>
      <c r="BP13" s="312"/>
      <c r="BQ13" s="312"/>
      <c r="BR13" s="312"/>
      <c r="BS13" s="315"/>
      <c r="BT13" s="314"/>
      <c r="BU13" s="312"/>
      <c r="BV13" s="312"/>
      <c r="BW13" s="312"/>
      <c r="BX13" s="315"/>
      <c r="BY13" s="314"/>
      <c r="BZ13" s="312"/>
      <c r="CA13" s="312"/>
      <c r="CB13" s="312"/>
      <c r="CC13" s="315"/>
      <c r="CD13" s="314"/>
      <c r="CE13" s="312"/>
      <c r="CF13" s="312"/>
      <c r="CG13" s="312"/>
      <c r="CH13" s="315"/>
      <c r="CI13" s="314"/>
      <c r="CJ13" s="312"/>
      <c r="CK13" s="312"/>
      <c r="CL13" s="312"/>
      <c r="CM13" s="315"/>
      <c r="CN13" s="314"/>
      <c r="CO13" s="312"/>
      <c r="CP13" s="312"/>
      <c r="CQ13" s="312"/>
      <c r="CR13" s="315"/>
      <c r="CS13" s="314"/>
      <c r="CT13" s="312"/>
      <c r="CU13" s="312"/>
      <c r="CV13" s="312"/>
      <c r="CW13" s="315"/>
      <c r="CX13" s="314"/>
      <c r="CY13" s="312"/>
      <c r="CZ13" s="312"/>
      <c r="DA13" s="312"/>
      <c r="DB13" s="313"/>
      <c r="DC13" s="314"/>
      <c r="DD13" s="312"/>
      <c r="DE13" s="312"/>
      <c r="DF13" s="312"/>
      <c r="DG13" s="313"/>
      <c r="DH13" s="314"/>
      <c r="DI13" s="312"/>
      <c r="DJ13" s="312"/>
      <c r="DK13" s="312"/>
      <c r="DL13" s="313"/>
      <c r="DM13" s="305">
        <f>COUNTIF($G$13:$DL$13,"/")</f>
        <v>0</v>
      </c>
      <c r="DN13" s="305">
        <f>COUNTIF($G$13:$DL$13,"ป")</f>
        <v>0</v>
      </c>
      <c r="DO13" s="305">
        <f>COUNTIF($G$13:$DL$13,"ล")</f>
        <v>0</v>
      </c>
      <c r="DP13" s="305">
        <f>COUNTIF($G$13:$DL$13,"ข")</f>
        <v>0</v>
      </c>
      <c r="DQ13" s="304">
        <f t="shared" si="1"/>
        <v>0</v>
      </c>
      <c r="DR13" s="355">
        <f t="shared" si="0"/>
        <v>1</v>
      </c>
      <c r="DU13" s="140" t="s">
        <v>179</v>
      </c>
      <c r="DV13" s="175">
        <v>13</v>
      </c>
      <c r="DW13" s="175">
        <v>13</v>
      </c>
    </row>
    <row r="14" spans="1:128" ht="18" customHeight="1" x14ac:dyDescent="0.3">
      <c r="A14" s="309">
        <f>ปพ.5!$A$14</f>
        <v>9</v>
      </c>
      <c r="B14" s="322" t="str">
        <f>ปพ.5!$B$14</f>
        <v>6692</v>
      </c>
      <c r="C14" s="352" t="str">
        <f>ปพ.5!$C$14</f>
        <v>1100704257961</v>
      </c>
      <c r="D14" s="582" t="str">
        <f>ปพ.5!$D$14</f>
        <v>เด็กชาย ก้องเกียรติ  เจริญพร</v>
      </c>
      <c r="E14" s="583"/>
      <c r="F14" s="584"/>
      <c r="G14" s="311"/>
      <c r="H14" s="312"/>
      <c r="I14" s="312"/>
      <c r="J14" s="312"/>
      <c r="K14" s="313"/>
      <c r="L14" s="314"/>
      <c r="M14" s="312"/>
      <c r="N14" s="312"/>
      <c r="O14" s="312"/>
      <c r="P14" s="315"/>
      <c r="Q14" s="314"/>
      <c r="R14" s="312"/>
      <c r="S14" s="312"/>
      <c r="T14" s="312"/>
      <c r="U14" s="315"/>
      <c r="V14" s="314"/>
      <c r="W14" s="312"/>
      <c r="X14" s="312"/>
      <c r="Y14" s="312"/>
      <c r="Z14" s="315"/>
      <c r="AA14" s="314"/>
      <c r="AB14" s="312"/>
      <c r="AC14" s="312"/>
      <c r="AD14" s="312"/>
      <c r="AE14" s="315"/>
      <c r="AF14" s="314"/>
      <c r="AG14" s="312"/>
      <c r="AH14" s="312"/>
      <c r="AI14" s="312"/>
      <c r="AJ14" s="315"/>
      <c r="AK14" s="314"/>
      <c r="AL14" s="312"/>
      <c r="AM14" s="312"/>
      <c r="AN14" s="312"/>
      <c r="AO14" s="315"/>
      <c r="AP14" s="314"/>
      <c r="AQ14" s="312"/>
      <c r="AR14" s="312"/>
      <c r="AS14" s="312"/>
      <c r="AT14" s="315"/>
      <c r="AU14" s="314"/>
      <c r="AV14" s="312"/>
      <c r="AW14" s="312"/>
      <c r="AX14" s="312"/>
      <c r="AY14" s="315"/>
      <c r="AZ14" s="314"/>
      <c r="BA14" s="312"/>
      <c r="BB14" s="312"/>
      <c r="BC14" s="312"/>
      <c r="BD14" s="315"/>
      <c r="BE14" s="314"/>
      <c r="BF14" s="312"/>
      <c r="BG14" s="312"/>
      <c r="BH14" s="312"/>
      <c r="BI14" s="315"/>
      <c r="BJ14" s="314"/>
      <c r="BK14" s="312"/>
      <c r="BL14" s="312"/>
      <c r="BM14" s="312"/>
      <c r="BN14" s="315"/>
      <c r="BO14" s="314"/>
      <c r="BP14" s="312"/>
      <c r="BQ14" s="312"/>
      <c r="BR14" s="312"/>
      <c r="BS14" s="315"/>
      <c r="BT14" s="314"/>
      <c r="BU14" s="312"/>
      <c r="BV14" s="312"/>
      <c r="BW14" s="312"/>
      <c r="BX14" s="315"/>
      <c r="BY14" s="314"/>
      <c r="BZ14" s="312"/>
      <c r="CA14" s="312"/>
      <c r="CB14" s="312"/>
      <c r="CC14" s="315"/>
      <c r="CD14" s="314"/>
      <c r="CE14" s="312"/>
      <c r="CF14" s="312"/>
      <c r="CG14" s="312"/>
      <c r="CH14" s="315"/>
      <c r="CI14" s="314"/>
      <c r="CJ14" s="312"/>
      <c r="CK14" s="312"/>
      <c r="CL14" s="312"/>
      <c r="CM14" s="315"/>
      <c r="CN14" s="314"/>
      <c r="CO14" s="312"/>
      <c r="CP14" s="312"/>
      <c r="CQ14" s="312"/>
      <c r="CR14" s="315"/>
      <c r="CS14" s="314"/>
      <c r="CT14" s="312"/>
      <c r="CU14" s="312"/>
      <c r="CV14" s="312"/>
      <c r="CW14" s="315"/>
      <c r="CX14" s="314"/>
      <c r="CY14" s="312"/>
      <c r="CZ14" s="312"/>
      <c r="DA14" s="312"/>
      <c r="DB14" s="313"/>
      <c r="DC14" s="314"/>
      <c r="DD14" s="312"/>
      <c r="DE14" s="312"/>
      <c r="DF14" s="312"/>
      <c r="DG14" s="313"/>
      <c r="DH14" s="314"/>
      <c r="DI14" s="312"/>
      <c r="DJ14" s="312"/>
      <c r="DK14" s="312"/>
      <c r="DL14" s="313"/>
      <c r="DM14" s="305">
        <f>COUNTIF($G$14:$DL$14,"/")</f>
        <v>0</v>
      </c>
      <c r="DN14" s="305">
        <f>COUNTIF($G$14:$DL$14,"ป")</f>
        <v>0</v>
      </c>
      <c r="DO14" s="305">
        <f>COUNTIF($G$14:$DL$14,"ล")</f>
        <v>0</v>
      </c>
      <c r="DP14" s="305">
        <f>COUNTIF($G$14:$DL$14,"ข")</f>
        <v>0</v>
      </c>
      <c r="DQ14" s="304">
        <f t="shared" si="1"/>
        <v>0</v>
      </c>
      <c r="DR14" s="355">
        <f t="shared" si="0"/>
        <v>1</v>
      </c>
      <c r="DU14" s="140" t="s">
        <v>180</v>
      </c>
      <c r="DV14" s="175">
        <v>14</v>
      </c>
      <c r="DW14" s="175">
        <v>14</v>
      </c>
    </row>
    <row r="15" spans="1:128" ht="18" customHeight="1" x14ac:dyDescent="0.3">
      <c r="A15" s="309">
        <f>ปพ.5!$A$15</f>
        <v>10</v>
      </c>
      <c r="B15" s="322" t="str">
        <f>ปพ.5!$B$15</f>
        <v>6703</v>
      </c>
      <c r="C15" s="352" t="str">
        <f>ปพ.5!$C$15</f>
        <v>1469900901058</v>
      </c>
      <c r="D15" s="582" t="str">
        <f>ปพ.5!$D$15</f>
        <v>เด็กชาย ศิริชัย  ไวยัง</v>
      </c>
      <c r="E15" s="583"/>
      <c r="F15" s="584"/>
      <c r="G15" s="311"/>
      <c r="H15" s="312"/>
      <c r="I15" s="312"/>
      <c r="J15" s="312"/>
      <c r="K15" s="313"/>
      <c r="L15" s="314"/>
      <c r="M15" s="312"/>
      <c r="N15" s="312"/>
      <c r="O15" s="312"/>
      <c r="P15" s="315"/>
      <c r="Q15" s="314"/>
      <c r="R15" s="312"/>
      <c r="S15" s="312"/>
      <c r="T15" s="312"/>
      <c r="U15" s="315"/>
      <c r="V15" s="314"/>
      <c r="W15" s="312"/>
      <c r="X15" s="312"/>
      <c r="Y15" s="312"/>
      <c r="Z15" s="315"/>
      <c r="AA15" s="314"/>
      <c r="AB15" s="312"/>
      <c r="AC15" s="312"/>
      <c r="AD15" s="312"/>
      <c r="AE15" s="315"/>
      <c r="AF15" s="314"/>
      <c r="AG15" s="312"/>
      <c r="AH15" s="312"/>
      <c r="AI15" s="312"/>
      <c r="AJ15" s="315"/>
      <c r="AK15" s="314"/>
      <c r="AL15" s="312"/>
      <c r="AM15" s="312"/>
      <c r="AN15" s="312"/>
      <c r="AO15" s="315"/>
      <c r="AP15" s="314"/>
      <c r="AQ15" s="312"/>
      <c r="AR15" s="312"/>
      <c r="AS15" s="312"/>
      <c r="AT15" s="315"/>
      <c r="AU15" s="314"/>
      <c r="AV15" s="312"/>
      <c r="AW15" s="312"/>
      <c r="AX15" s="312"/>
      <c r="AY15" s="315"/>
      <c r="AZ15" s="314"/>
      <c r="BA15" s="312"/>
      <c r="BB15" s="312"/>
      <c r="BC15" s="312"/>
      <c r="BD15" s="315"/>
      <c r="BE15" s="314"/>
      <c r="BF15" s="312"/>
      <c r="BG15" s="312"/>
      <c r="BH15" s="312"/>
      <c r="BI15" s="315"/>
      <c r="BJ15" s="314"/>
      <c r="BK15" s="312"/>
      <c r="BL15" s="312"/>
      <c r="BM15" s="312"/>
      <c r="BN15" s="315"/>
      <c r="BO15" s="314"/>
      <c r="BP15" s="312"/>
      <c r="BQ15" s="312"/>
      <c r="BR15" s="312"/>
      <c r="BS15" s="315"/>
      <c r="BT15" s="314"/>
      <c r="BU15" s="312"/>
      <c r="BV15" s="312"/>
      <c r="BW15" s="312"/>
      <c r="BX15" s="315"/>
      <c r="BY15" s="314"/>
      <c r="BZ15" s="312"/>
      <c r="CA15" s="312"/>
      <c r="CB15" s="312"/>
      <c r="CC15" s="315"/>
      <c r="CD15" s="314"/>
      <c r="CE15" s="312"/>
      <c r="CF15" s="312"/>
      <c r="CG15" s="312"/>
      <c r="CH15" s="315"/>
      <c r="CI15" s="314"/>
      <c r="CJ15" s="312"/>
      <c r="CK15" s="312"/>
      <c r="CL15" s="312"/>
      <c r="CM15" s="315"/>
      <c r="CN15" s="314"/>
      <c r="CO15" s="312"/>
      <c r="CP15" s="312"/>
      <c r="CQ15" s="312"/>
      <c r="CR15" s="315"/>
      <c r="CS15" s="314"/>
      <c r="CT15" s="312"/>
      <c r="CU15" s="312"/>
      <c r="CV15" s="312"/>
      <c r="CW15" s="315"/>
      <c r="CX15" s="314"/>
      <c r="CY15" s="312"/>
      <c r="CZ15" s="312"/>
      <c r="DA15" s="312"/>
      <c r="DB15" s="313"/>
      <c r="DC15" s="314"/>
      <c r="DD15" s="312"/>
      <c r="DE15" s="312"/>
      <c r="DF15" s="312"/>
      <c r="DG15" s="313"/>
      <c r="DH15" s="314"/>
      <c r="DI15" s="312"/>
      <c r="DJ15" s="312"/>
      <c r="DK15" s="312"/>
      <c r="DL15" s="313"/>
      <c r="DM15" s="305">
        <f>COUNTIF($G$15:$DL$15,"/")</f>
        <v>0</v>
      </c>
      <c r="DN15" s="305">
        <f>COUNTIF($G$15:$DL$15,"ป")</f>
        <v>0</v>
      </c>
      <c r="DO15" s="305">
        <f>COUNTIF($G$15:$DL$15,"ล")</f>
        <v>0</v>
      </c>
      <c r="DP15" s="305">
        <f>COUNTIF($G$15:$DL$15,"ข")</f>
        <v>0</v>
      </c>
      <c r="DQ15" s="304">
        <f t="shared" si="1"/>
        <v>0</v>
      </c>
      <c r="DR15" s="355">
        <f t="shared" si="0"/>
        <v>1</v>
      </c>
      <c r="DU15" s="140" t="s">
        <v>181</v>
      </c>
      <c r="DV15" s="175">
        <v>15</v>
      </c>
      <c r="DW15" s="175">
        <v>15</v>
      </c>
    </row>
    <row r="16" spans="1:128" ht="18" customHeight="1" x14ac:dyDescent="0.3">
      <c r="A16" s="309">
        <f>ปพ.5!$A$16</f>
        <v>11</v>
      </c>
      <c r="B16" s="322" t="str">
        <f>ปพ.5!$B$16</f>
        <v>6704</v>
      </c>
      <c r="C16" s="352" t="str">
        <f>ปพ.5!$C$16</f>
        <v>1100704206819</v>
      </c>
      <c r="D16" s="582" t="str">
        <f>ปพ.5!$D$16</f>
        <v>เด็กชาย ธนกฤต  ถนอมต่วน</v>
      </c>
      <c r="E16" s="583"/>
      <c r="F16" s="584"/>
      <c r="G16" s="311"/>
      <c r="H16" s="312"/>
      <c r="I16" s="312"/>
      <c r="J16" s="312"/>
      <c r="K16" s="313"/>
      <c r="L16" s="314"/>
      <c r="M16" s="312"/>
      <c r="N16" s="312"/>
      <c r="O16" s="312"/>
      <c r="P16" s="315"/>
      <c r="Q16" s="314"/>
      <c r="R16" s="312"/>
      <c r="S16" s="312"/>
      <c r="T16" s="312"/>
      <c r="U16" s="315"/>
      <c r="V16" s="314"/>
      <c r="W16" s="312"/>
      <c r="X16" s="312"/>
      <c r="Y16" s="312"/>
      <c r="Z16" s="315"/>
      <c r="AA16" s="314"/>
      <c r="AB16" s="312"/>
      <c r="AC16" s="312"/>
      <c r="AD16" s="312"/>
      <c r="AE16" s="315"/>
      <c r="AF16" s="314"/>
      <c r="AG16" s="312"/>
      <c r="AH16" s="312"/>
      <c r="AI16" s="312"/>
      <c r="AJ16" s="315"/>
      <c r="AK16" s="314"/>
      <c r="AL16" s="312"/>
      <c r="AM16" s="312"/>
      <c r="AN16" s="312"/>
      <c r="AO16" s="315"/>
      <c r="AP16" s="314"/>
      <c r="AQ16" s="312"/>
      <c r="AR16" s="312"/>
      <c r="AS16" s="312"/>
      <c r="AT16" s="315"/>
      <c r="AU16" s="314"/>
      <c r="AV16" s="312"/>
      <c r="AW16" s="312"/>
      <c r="AX16" s="312"/>
      <c r="AY16" s="315"/>
      <c r="AZ16" s="314"/>
      <c r="BA16" s="312"/>
      <c r="BB16" s="312"/>
      <c r="BC16" s="312"/>
      <c r="BD16" s="315"/>
      <c r="BE16" s="314"/>
      <c r="BF16" s="312"/>
      <c r="BG16" s="312"/>
      <c r="BH16" s="312"/>
      <c r="BI16" s="315"/>
      <c r="BJ16" s="314"/>
      <c r="BK16" s="312"/>
      <c r="BL16" s="312"/>
      <c r="BM16" s="312"/>
      <c r="BN16" s="315"/>
      <c r="BO16" s="314"/>
      <c r="BP16" s="312"/>
      <c r="BQ16" s="312"/>
      <c r="BR16" s="312"/>
      <c r="BS16" s="315"/>
      <c r="BT16" s="314"/>
      <c r="BU16" s="312"/>
      <c r="BV16" s="312"/>
      <c r="BW16" s="312"/>
      <c r="BX16" s="315"/>
      <c r="BY16" s="314"/>
      <c r="BZ16" s="312"/>
      <c r="CA16" s="312"/>
      <c r="CB16" s="312"/>
      <c r="CC16" s="315"/>
      <c r="CD16" s="314"/>
      <c r="CE16" s="312"/>
      <c r="CF16" s="312"/>
      <c r="CG16" s="312"/>
      <c r="CH16" s="315"/>
      <c r="CI16" s="314"/>
      <c r="CJ16" s="312"/>
      <c r="CK16" s="312"/>
      <c r="CL16" s="312"/>
      <c r="CM16" s="315"/>
      <c r="CN16" s="314"/>
      <c r="CO16" s="312"/>
      <c r="CP16" s="312"/>
      <c r="CQ16" s="312"/>
      <c r="CR16" s="315"/>
      <c r="CS16" s="314"/>
      <c r="CT16" s="312"/>
      <c r="CU16" s="312"/>
      <c r="CV16" s="312"/>
      <c r="CW16" s="315"/>
      <c r="CX16" s="314"/>
      <c r="CY16" s="312"/>
      <c r="CZ16" s="312"/>
      <c r="DA16" s="312"/>
      <c r="DB16" s="313"/>
      <c r="DC16" s="314"/>
      <c r="DD16" s="312"/>
      <c r="DE16" s="312"/>
      <c r="DF16" s="312"/>
      <c r="DG16" s="313"/>
      <c r="DH16" s="314"/>
      <c r="DI16" s="312"/>
      <c r="DJ16" s="312"/>
      <c r="DK16" s="312"/>
      <c r="DL16" s="313"/>
      <c r="DM16" s="305">
        <f>COUNTIF($G$16:$DL$16,"/")</f>
        <v>0</v>
      </c>
      <c r="DN16" s="305">
        <f>COUNTIF($G$16:$DL$16,"ป")</f>
        <v>0</v>
      </c>
      <c r="DO16" s="305">
        <f>COUNTIF($G$16:$DL$16,"ล")</f>
        <v>0</v>
      </c>
      <c r="DP16" s="305">
        <f>COUNTIF($G$16:$DL$16,"ข")</f>
        <v>0</v>
      </c>
      <c r="DQ16" s="304">
        <f t="shared" si="1"/>
        <v>0</v>
      </c>
      <c r="DR16" s="355">
        <f t="shared" si="0"/>
        <v>1</v>
      </c>
      <c r="DU16" s="140" t="s">
        <v>182</v>
      </c>
      <c r="DV16" s="175">
        <v>16</v>
      </c>
      <c r="DW16" s="175">
        <v>16</v>
      </c>
    </row>
    <row r="17" spans="1:127" ht="18" customHeight="1" x14ac:dyDescent="0.3">
      <c r="A17" s="309">
        <f>ปพ.5!$A$17</f>
        <v>12</v>
      </c>
      <c r="B17" s="322" t="str">
        <f>ปพ.5!$B$17</f>
        <v>6715</v>
      </c>
      <c r="C17" s="352" t="str">
        <f>ปพ.5!$C$17</f>
        <v>1110301526181</v>
      </c>
      <c r="D17" s="582" t="str">
        <f>ปพ.5!$D$17</f>
        <v>เด็กหญิง เพ็ญพิชชา  สิงสูงเนิน</v>
      </c>
      <c r="E17" s="583"/>
      <c r="F17" s="584"/>
      <c r="G17" s="311"/>
      <c r="H17" s="312"/>
      <c r="I17" s="312"/>
      <c r="J17" s="312"/>
      <c r="K17" s="313"/>
      <c r="L17" s="314"/>
      <c r="M17" s="312"/>
      <c r="N17" s="312"/>
      <c r="O17" s="312"/>
      <c r="P17" s="315"/>
      <c r="Q17" s="314"/>
      <c r="R17" s="312"/>
      <c r="S17" s="312"/>
      <c r="T17" s="312"/>
      <c r="U17" s="315"/>
      <c r="V17" s="314"/>
      <c r="W17" s="312"/>
      <c r="X17" s="312"/>
      <c r="Y17" s="312"/>
      <c r="Z17" s="315"/>
      <c r="AA17" s="314"/>
      <c r="AB17" s="312"/>
      <c r="AC17" s="312"/>
      <c r="AD17" s="312"/>
      <c r="AE17" s="315"/>
      <c r="AF17" s="314"/>
      <c r="AG17" s="312"/>
      <c r="AH17" s="312"/>
      <c r="AI17" s="312"/>
      <c r="AJ17" s="315"/>
      <c r="AK17" s="314"/>
      <c r="AL17" s="312"/>
      <c r="AM17" s="312"/>
      <c r="AN17" s="312"/>
      <c r="AO17" s="315"/>
      <c r="AP17" s="314"/>
      <c r="AQ17" s="312"/>
      <c r="AR17" s="312"/>
      <c r="AS17" s="312"/>
      <c r="AT17" s="315"/>
      <c r="AU17" s="314"/>
      <c r="AV17" s="312"/>
      <c r="AW17" s="312"/>
      <c r="AX17" s="312"/>
      <c r="AY17" s="315"/>
      <c r="AZ17" s="314"/>
      <c r="BA17" s="312"/>
      <c r="BB17" s="312"/>
      <c r="BC17" s="312"/>
      <c r="BD17" s="315"/>
      <c r="BE17" s="314"/>
      <c r="BF17" s="312"/>
      <c r="BG17" s="312"/>
      <c r="BH17" s="312"/>
      <c r="BI17" s="315"/>
      <c r="BJ17" s="314"/>
      <c r="BK17" s="312"/>
      <c r="BL17" s="312"/>
      <c r="BM17" s="312"/>
      <c r="BN17" s="315"/>
      <c r="BO17" s="314"/>
      <c r="BP17" s="312"/>
      <c r="BQ17" s="312"/>
      <c r="BR17" s="312"/>
      <c r="BS17" s="315"/>
      <c r="BT17" s="314"/>
      <c r="BU17" s="312"/>
      <c r="BV17" s="312"/>
      <c r="BW17" s="312"/>
      <c r="BX17" s="315"/>
      <c r="BY17" s="314"/>
      <c r="BZ17" s="312"/>
      <c r="CA17" s="312"/>
      <c r="CB17" s="312"/>
      <c r="CC17" s="315"/>
      <c r="CD17" s="314"/>
      <c r="CE17" s="312"/>
      <c r="CF17" s="312"/>
      <c r="CG17" s="312"/>
      <c r="CH17" s="315"/>
      <c r="CI17" s="314"/>
      <c r="CJ17" s="312"/>
      <c r="CK17" s="312"/>
      <c r="CL17" s="312"/>
      <c r="CM17" s="315"/>
      <c r="CN17" s="314"/>
      <c r="CO17" s="312"/>
      <c r="CP17" s="312"/>
      <c r="CQ17" s="312"/>
      <c r="CR17" s="315"/>
      <c r="CS17" s="314"/>
      <c r="CT17" s="312"/>
      <c r="CU17" s="312"/>
      <c r="CV17" s="312"/>
      <c r="CW17" s="315"/>
      <c r="CX17" s="314"/>
      <c r="CY17" s="312"/>
      <c r="CZ17" s="312"/>
      <c r="DA17" s="312"/>
      <c r="DB17" s="313"/>
      <c r="DC17" s="314"/>
      <c r="DD17" s="312"/>
      <c r="DE17" s="312"/>
      <c r="DF17" s="312"/>
      <c r="DG17" s="313"/>
      <c r="DH17" s="314"/>
      <c r="DI17" s="312"/>
      <c r="DJ17" s="312"/>
      <c r="DK17" s="312"/>
      <c r="DL17" s="313"/>
      <c r="DM17" s="305">
        <f>COUNTIF($G$17:$DL$17,"/")</f>
        <v>0</v>
      </c>
      <c r="DN17" s="305">
        <f>COUNTIF($G$17:$DL$17,"ป")</f>
        <v>0</v>
      </c>
      <c r="DO17" s="305">
        <f>COUNTIF($G$17:$DL$17,"ล")</f>
        <v>0</v>
      </c>
      <c r="DP17" s="305">
        <f>COUNTIF($G$17:$DL$17,"ข")</f>
        <v>0</v>
      </c>
      <c r="DQ17" s="304">
        <f t="shared" si="1"/>
        <v>0</v>
      </c>
      <c r="DR17" s="355">
        <f t="shared" si="0"/>
        <v>1</v>
      </c>
      <c r="DU17" s="140" t="s">
        <v>183</v>
      </c>
      <c r="DV17" s="175">
        <v>17</v>
      </c>
      <c r="DW17" s="175">
        <v>17</v>
      </c>
    </row>
    <row r="18" spans="1:127" ht="18" customHeight="1" x14ac:dyDescent="0.3">
      <c r="A18" s="309">
        <f>ปพ.5!$A$18</f>
        <v>13</v>
      </c>
      <c r="B18" s="322" t="str">
        <f>ปพ.5!$B$18</f>
        <v>6727</v>
      </c>
      <c r="C18" s="352" t="str">
        <f>ปพ.5!$C$18</f>
        <v>1103704603331</v>
      </c>
      <c r="D18" s="582" t="str">
        <f>ปพ.5!$D$18</f>
        <v>เด็กชาย พีรภัทร  พุทไธสง</v>
      </c>
      <c r="E18" s="583"/>
      <c r="F18" s="584"/>
      <c r="G18" s="311"/>
      <c r="H18" s="312"/>
      <c r="I18" s="312"/>
      <c r="J18" s="312"/>
      <c r="K18" s="313"/>
      <c r="L18" s="314"/>
      <c r="M18" s="312"/>
      <c r="N18" s="312"/>
      <c r="O18" s="312"/>
      <c r="P18" s="315"/>
      <c r="Q18" s="314"/>
      <c r="R18" s="312"/>
      <c r="S18" s="312"/>
      <c r="T18" s="312"/>
      <c r="U18" s="315"/>
      <c r="V18" s="314"/>
      <c r="W18" s="312"/>
      <c r="X18" s="312"/>
      <c r="Y18" s="312"/>
      <c r="Z18" s="315"/>
      <c r="AA18" s="314"/>
      <c r="AB18" s="312"/>
      <c r="AC18" s="312"/>
      <c r="AD18" s="312"/>
      <c r="AE18" s="315"/>
      <c r="AF18" s="314"/>
      <c r="AG18" s="312"/>
      <c r="AH18" s="312"/>
      <c r="AI18" s="312"/>
      <c r="AJ18" s="315"/>
      <c r="AK18" s="314"/>
      <c r="AL18" s="312"/>
      <c r="AM18" s="312"/>
      <c r="AN18" s="312"/>
      <c r="AO18" s="315"/>
      <c r="AP18" s="314"/>
      <c r="AQ18" s="312"/>
      <c r="AR18" s="312"/>
      <c r="AS18" s="312"/>
      <c r="AT18" s="315"/>
      <c r="AU18" s="314"/>
      <c r="AV18" s="312"/>
      <c r="AW18" s="312"/>
      <c r="AX18" s="312"/>
      <c r="AY18" s="315"/>
      <c r="AZ18" s="314"/>
      <c r="BA18" s="312"/>
      <c r="BB18" s="312"/>
      <c r="BC18" s="312"/>
      <c r="BD18" s="315"/>
      <c r="BE18" s="314"/>
      <c r="BF18" s="312"/>
      <c r="BG18" s="312"/>
      <c r="BH18" s="312"/>
      <c r="BI18" s="315"/>
      <c r="BJ18" s="314"/>
      <c r="BK18" s="312"/>
      <c r="BL18" s="312"/>
      <c r="BM18" s="312"/>
      <c r="BN18" s="315"/>
      <c r="BO18" s="314"/>
      <c r="BP18" s="312"/>
      <c r="BQ18" s="312"/>
      <c r="BR18" s="312"/>
      <c r="BS18" s="315"/>
      <c r="BT18" s="314"/>
      <c r="BU18" s="312"/>
      <c r="BV18" s="312"/>
      <c r="BW18" s="312"/>
      <c r="BX18" s="315"/>
      <c r="BY18" s="314"/>
      <c r="BZ18" s="312"/>
      <c r="CA18" s="312"/>
      <c r="CB18" s="312"/>
      <c r="CC18" s="315"/>
      <c r="CD18" s="314"/>
      <c r="CE18" s="312"/>
      <c r="CF18" s="312"/>
      <c r="CG18" s="312"/>
      <c r="CH18" s="315"/>
      <c r="CI18" s="314"/>
      <c r="CJ18" s="312"/>
      <c r="CK18" s="312"/>
      <c r="CL18" s="312"/>
      <c r="CM18" s="315"/>
      <c r="CN18" s="314"/>
      <c r="CO18" s="312"/>
      <c r="CP18" s="312"/>
      <c r="CQ18" s="312"/>
      <c r="CR18" s="315"/>
      <c r="CS18" s="314"/>
      <c r="CT18" s="312"/>
      <c r="CU18" s="312"/>
      <c r="CV18" s="312"/>
      <c r="CW18" s="315"/>
      <c r="CX18" s="314"/>
      <c r="CY18" s="312"/>
      <c r="CZ18" s="312"/>
      <c r="DA18" s="312"/>
      <c r="DB18" s="313"/>
      <c r="DC18" s="314"/>
      <c r="DD18" s="312"/>
      <c r="DE18" s="312"/>
      <c r="DF18" s="312"/>
      <c r="DG18" s="313"/>
      <c r="DH18" s="314"/>
      <c r="DI18" s="312"/>
      <c r="DJ18" s="312"/>
      <c r="DK18" s="312"/>
      <c r="DL18" s="313"/>
      <c r="DM18" s="305">
        <f>COUNTIF($G$18:$DL$18,"/")</f>
        <v>0</v>
      </c>
      <c r="DN18" s="305">
        <f>COUNTIF($G$18:$DL$18,"ป")</f>
        <v>0</v>
      </c>
      <c r="DO18" s="305">
        <f>COUNTIF($G$18:$DL$18,"ล")</f>
        <v>0</v>
      </c>
      <c r="DP18" s="305">
        <f>COUNTIF($G$18:$DL$18,"ข")</f>
        <v>0</v>
      </c>
      <c r="DQ18" s="304">
        <f t="shared" si="1"/>
        <v>0</v>
      </c>
      <c r="DR18" s="355">
        <f t="shared" si="0"/>
        <v>1</v>
      </c>
      <c r="DU18" s="140" t="s">
        <v>184</v>
      </c>
      <c r="DV18" s="175">
        <v>18</v>
      </c>
      <c r="DW18" s="175">
        <v>18</v>
      </c>
    </row>
    <row r="19" spans="1:127" ht="18" customHeight="1" x14ac:dyDescent="0.3">
      <c r="A19" s="309">
        <f>ปพ.5!$A$19</f>
        <v>14</v>
      </c>
      <c r="B19" s="322" t="str">
        <f>ปพ.5!$B$19</f>
        <v>6729</v>
      </c>
      <c r="C19" s="352" t="str">
        <f>ปพ.5!$C$19</f>
        <v>1103704621908</v>
      </c>
      <c r="D19" s="582" t="str">
        <f>ปพ.5!$D$19</f>
        <v>เด็กชาย อติเทพ  ยาผ่า</v>
      </c>
      <c r="E19" s="583"/>
      <c r="F19" s="584"/>
      <c r="G19" s="311"/>
      <c r="H19" s="312"/>
      <c r="I19" s="312"/>
      <c r="J19" s="312"/>
      <c r="K19" s="313"/>
      <c r="L19" s="314"/>
      <c r="M19" s="312"/>
      <c r="N19" s="312"/>
      <c r="O19" s="312"/>
      <c r="P19" s="315"/>
      <c r="Q19" s="314"/>
      <c r="R19" s="312"/>
      <c r="S19" s="312"/>
      <c r="T19" s="312"/>
      <c r="U19" s="315"/>
      <c r="V19" s="314"/>
      <c r="W19" s="312"/>
      <c r="X19" s="312"/>
      <c r="Y19" s="312"/>
      <c r="Z19" s="315"/>
      <c r="AA19" s="314"/>
      <c r="AB19" s="312"/>
      <c r="AC19" s="312"/>
      <c r="AD19" s="312"/>
      <c r="AE19" s="315"/>
      <c r="AF19" s="314"/>
      <c r="AG19" s="312"/>
      <c r="AH19" s="312"/>
      <c r="AI19" s="312"/>
      <c r="AJ19" s="315"/>
      <c r="AK19" s="314"/>
      <c r="AL19" s="312"/>
      <c r="AM19" s="312"/>
      <c r="AN19" s="312"/>
      <c r="AO19" s="315"/>
      <c r="AP19" s="314"/>
      <c r="AQ19" s="312"/>
      <c r="AR19" s="312"/>
      <c r="AS19" s="312"/>
      <c r="AT19" s="315"/>
      <c r="AU19" s="314"/>
      <c r="AV19" s="312"/>
      <c r="AW19" s="312"/>
      <c r="AX19" s="312"/>
      <c r="AY19" s="315"/>
      <c r="AZ19" s="314"/>
      <c r="BA19" s="312"/>
      <c r="BB19" s="312"/>
      <c r="BC19" s="312"/>
      <c r="BD19" s="315"/>
      <c r="BE19" s="314"/>
      <c r="BF19" s="312"/>
      <c r="BG19" s="312"/>
      <c r="BH19" s="312"/>
      <c r="BI19" s="315"/>
      <c r="BJ19" s="314"/>
      <c r="BK19" s="312"/>
      <c r="BL19" s="312"/>
      <c r="BM19" s="312"/>
      <c r="BN19" s="315"/>
      <c r="BO19" s="314"/>
      <c r="BP19" s="312"/>
      <c r="BQ19" s="312"/>
      <c r="BR19" s="312"/>
      <c r="BS19" s="315"/>
      <c r="BT19" s="314"/>
      <c r="BU19" s="312"/>
      <c r="BV19" s="312"/>
      <c r="BW19" s="312"/>
      <c r="BX19" s="315"/>
      <c r="BY19" s="314"/>
      <c r="BZ19" s="312"/>
      <c r="CA19" s="312"/>
      <c r="CB19" s="312"/>
      <c r="CC19" s="315"/>
      <c r="CD19" s="314"/>
      <c r="CE19" s="312"/>
      <c r="CF19" s="312"/>
      <c r="CG19" s="312"/>
      <c r="CH19" s="315"/>
      <c r="CI19" s="314"/>
      <c r="CJ19" s="312"/>
      <c r="CK19" s="312"/>
      <c r="CL19" s="312"/>
      <c r="CM19" s="315"/>
      <c r="CN19" s="314"/>
      <c r="CO19" s="312"/>
      <c r="CP19" s="312"/>
      <c r="CQ19" s="312"/>
      <c r="CR19" s="315"/>
      <c r="CS19" s="314"/>
      <c r="CT19" s="312"/>
      <c r="CU19" s="312"/>
      <c r="CV19" s="312"/>
      <c r="CW19" s="315"/>
      <c r="CX19" s="314"/>
      <c r="CY19" s="312"/>
      <c r="CZ19" s="312"/>
      <c r="DA19" s="312"/>
      <c r="DB19" s="313"/>
      <c r="DC19" s="314"/>
      <c r="DD19" s="312"/>
      <c r="DE19" s="312"/>
      <c r="DF19" s="312"/>
      <c r="DG19" s="313"/>
      <c r="DH19" s="314"/>
      <c r="DI19" s="312"/>
      <c r="DJ19" s="312"/>
      <c r="DK19" s="312"/>
      <c r="DL19" s="313"/>
      <c r="DM19" s="305">
        <f>COUNTIF($G$19:$DL$19,"/")</f>
        <v>0</v>
      </c>
      <c r="DN19" s="305">
        <f>COUNTIF($G$19:$DL$19,"ป")</f>
        <v>0</v>
      </c>
      <c r="DO19" s="305">
        <f>COUNTIF($G$19:$DL$19,"ล")</f>
        <v>0</v>
      </c>
      <c r="DP19" s="305">
        <f>COUNTIF($G$19:$DL$19,"ข")</f>
        <v>0</v>
      </c>
      <c r="DQ19" s="304">
        <f t="shared" si="1"/>
        <v>0</v>
      </c>
      <c r="DR19" s="355">
        <f t="shared" si="0"/>
        <v>1</v>
      </c>
      <c r="DU19" s="140" t="s">
        <v>185</v>
      </c>
      <c r="DV19" s="175">
        <v>19</v>
      </c>
      <c r="DW19" s="175">
        <v>19</v>
      </c>
    </row>
    <row r="20" spans="1:127" ht="18" customHeight="1" x14ac:dyDescent="0.3">
      <c r="A20" s="309">
        <f>ปพ.5!$A$20</f>
        <v>15</v>
      </c>
      <c r="B20" s="322" t="str">
        <f>ปพ.5!$B$20</f>
        <v>6737</v>
      </c>
      <c r="C20" s="352" t="str">
        <f>ปพ.5!$C$20</f>
        <v>2103300024825</v>
      </c>
      <c r="D20" s="582" t="str">
        <f>ปพ.5!$D$20</f>
        <v>เด็กหญิง มีนา  ศรีโอภาส</v>
      </c>
      <c r="E20" s="583"/>
      <c r="F20" s="584"/>
      <c r="G20" s="311"/>
      <c r="H20" s="312"/>
      <c r="I20" s="312"/>
      <c r="J20" s="312"/>
      <c r="K20" s="313"/>
      <c r="L20" s="314"/>
      <c r="M20" s="312"/>
      <c r="N20" s="312"/>
      <c r="O20" s="312"/>
      <c r="P20" s="315"/>
      <c r="Q20" s="314"/>
      <c r="R20" s="312"/>
      <c r="S20" s="312"/>
      <c r="T20" s="312"/>
      <c r="U20" s="315"/>
      <c r="V20" s="314"/>
      <c r="W20" s="312"/>
      <c r="X20" s="312"/>
      <c r="Y20" s="312"/>
      <c r="Z20" s="315"/>
      <c r="AA20" s="314"/>
      <c r="AB20" s="312"/>
      <c r="AC20" s="312"/>
      <c r="AD20" s="312"/>
      <c r="AE20" s="315"/>
      <c r="AF20" s="314"/>
      <c r="AG20" s="312"/>
      <c r="AH20" s="312"/>
      <c r="AI20" s="312"/>
      <c r="AJ20" s="315"/>
      <c r="AK20" s="314"/>
      <c r="AL20" s="312"/>
      <c r="AM20" s="312"/>
      <c r="AN20" s="312"/>
      <c r="AO20" s="315"/>
      <c r="AP20" s="314"/>
      <c r="AQ20" s="312"/>
      <c r="AR20" s="312"/>
      <c r="AS20" s="312"/>
      <c r="AT20" s="315"/>
      <c r="AU20" s="314"/>
      <c r="AV20" s="312"/>
      <c r="AW20" s="312"/>
      <c r="AX20" s="312"/>
      <c r="AY20" s="315"/>
      <c r="AZ20" s="314"/>
      <c r="BA20" s="312"/>
      <c r="BB20" s="312"/>
      <c r="BC20" s="312"/>
      <c r="BD20" s="315"/>
      <c r="BE20" s="314"/>
      <c r="BF20" s="312"/>
      <c r="BG20" s="312"/>
      <c r="BH20" s="312"/>
      <c r="BI20" s="315"/>
      <c r="BJ20" s="314"/>
      <c r="BK20" s="312"/>
      <c r="BL20" s="312"/>
      <c r="BM20" s="312"/>
      <c r="BN20" s="315"/>
      <c r="BO20" s="314"/>
      <c r="BP20" s="312"/>
      <c r="BQ20" s="312"/>
      <c r="BR20" s="312"/>
      <c r="BS20" s="315"/>
      <c r="BT20" s="314"/>
      <c r="BU20" s="312"/>
      <c r="BV20" s="312"/>
      <c r="BW20" s="312"/>
      <c r="BX20" s="315"/>
      <c r="BY20" s="314"/>
      <c r="BZ20" s="312"/>
      <c r="CA20" s="312"/>
      <c r="CB20" s="312"/>
      <c r="CC20" s="315"/>
      <c r="CD20" s="314"/>
      <c r="CE20" s="312"/>
      <c r="CF20" s="312"/>
      <c r="CG20" s="312"/>
      <c r="CH20" s="315"/>
      <c r="CI20" s="314"/>
      <c r="CJ20" s="312"/>
      <c r="CK20" s="312"/>
      <c r="CL20" s="312"/>
      <c r="CM20" s="315"/>
      <c r="CN20" s="314"/>
      <c r="CO20" s="312"/>
      <c r="CP20" s="312"/>
      <c r="CQ20" s="312"/>
      <c r="CR20" s="315"/>
      <c r="CS20" s="314"/>
      <c r="CT20" s="312"/>
      <c r="CU20" s="312"/>
      <c r="CV20" s="312"/>
      <c r="CW20" s="315"/>
      <c r="CX20" s="314"/>
      <c r="CY20" s="312"/>
      <c r="CZ20" s="312"/>
      <c r="DA20" s="312"/>
      <c r="DB20" s="313"/>
      <c r="DC20" s="314"/>
      <c r="DD20" s="312"/>
      <c r="DE20" s="312"/>
      <c r="DF20" s="312"/>
      <c r="DG20" s="313"/>
      <c r="DH20" s="314"/>
      <c r="DI20" s="312"/>
      <c r="DJ20" s="312"/>
      <c r="DK20" s="312"/>
      <c r="DL20" s="313"/>
      <c r="DM20" s="305">
        <f>COUNTIF($G$20:$DL$20,"/")</f>
        <v>0</v>
      </c>
      <c r="DN20" s="305">
        <f>COUNTIF($G$20:$DL$20,"ป")</f>
        <v>0</v>
      </c>
      <c r="DO20" s="305">
        <f>COUNTIF($G$20:$DL$20,"ล")</f>
        <v>0</v>
      </c>
      <c r="DP20" s="305">
        <f>COUNTIF($G$20:$DL$20,"ข")</f>
        <v>0</v>
      </c>
      <c r="DQ20" s="304">
        <f t="shared" si="1"/>
        <v>0</v>
      </c>
      <c r="DR20" s="355">
        <f t="shared" si="0"/>
        <v>1</v>
      </c>
      <c r="DU20" s="140" t="s">
        <v>186</v>
      </c>
      <c r="DV20" s="175">
        <v>20</v>
      </c>
      <c r="DW20" s="175">
        <v>20</v>
      </c>
    </row>
    <row r="21" spans="1:127" ht="18" customHeight="1" x14ac:dyDescent="0.3">
      <c r="A21" s="309">
        <f>ปพ.5!$A$21</f>
        <v>16</v>
      </c>
      <c r="B21" s="322" t="str">
        <f>ปพ.5!$B$21</f>
        <v>6744</v>
      </c>
      <c r="C21" s="352" t="str">
        <f>ปพ.5!$C$21</f>
        <v>1100704216041</v>
      </c>
      <c r="D21" s="582" t="str">
        <f>ปพ.5!$D$21</f>
        <v>เด็กหญิง สุธิดา  มวยเก่ง</v>
      </c>
      <c r="E21" s="583"/>
      <c r="F21" s="584"/>
      <c r="G21" s="311"/>
      <c r="H21" s="312"/>
      <c r="I21" s="312"/>
      <c r="J21" s="312"/>
      <c r="K21" s="313"/>
      <c r="L21" s="314"/>
      <c r="M21" s="312"/>
      <c r="N21" s="312"/>
      <c r="O21" s="312"/>
      <c r="P21" s="315"/>
      <c r="Q21" s="314"/>
      <c r="R21" s="312"/>
      <c r="S21" s="312"/>
      <c r="T21" s="312"/>
      <c r="U21" s="315"/>
      <c r="V21" s="314"/>
      <c r="W21" s="312"/>
      <c r="X21" s="312"/>
      <c r="Y21" s="312"/>
      <c r="Z21" s="315"/>
      <c r="AA21" s="314"/>
      <c r="AB21" s="312"/>
      <c r="AC21" s="312"/>
      <c r="AD21" s="312"/>
      <c r="AE21" s="315"/>
      <c r="AF21" s="314"/>
      <c r="AG21" s="312"/>
      <c r="AH21" s="312"/>
      <c r="AI21" s="312"/>
      <c r="AJ21" s="315"/>
      <c r="AK21" s="314"/>
      <c r="AL21" s="312"/>
      <c r="AM21" s="312"/>
      <c r="AN21" s="312"/>
      <c r="AO21" s="315"/>
      <c r="AP21" s="314"/>
      <c r="AQ21" s="312"/>
      <c r="AR21" s="312"/>
      <c r="AS21" s="312"/>
      <c r="AT21" s="315"/>
      <c r="AU21" s="314"/>
      <c r="AV21" s="312"/>
      <c r="AW21" s="312"/>
      <c r="AX21" s="312"/>
      <c r="AY21" s="315"/>
      <c r="AZ21" s="314"/>
      <c r="BA21" s="312"/>
      <c r="BB21" s="312"/>
      <c r="BC21" s="312"/>
      <c r="BD21" s="315"/>
      <c r="BE21" s="314"/>
      <c r="BF21" s="312"/>
      <c r="BG21" s="312"/>
      <c r="BH21" s="312"/>
      <c r="BI21" s="315"/>
      <c r="BJ21" s="314"/>
      <c r="BK21" s="312"/>
      <c r="BL21" s="312"/>
      <c r="BM21" s="312"/>
      <c r="BN21" s="315"/>
      <c r="BO21" s="314"/>
      <c r="BP21" s="312"/>
      <c r="BQ21" s="312"/>
      <c r="BR21" s="312"/>
      <c r="BS21" s="315"/>
      <c r="BT21" s="314"/>
      <c r="BU21" s="312"/>
      <c r="BV21" s="312"/>
      <c r="BW21" s="312"/>
      <c r="BX21" s="315"/>
      <c r="BY21" s="314"/>
      <c r="BZ21" s="312"/>
      <c r="CA21" s="312"/>
      <c r="CB21" s="312"/>
      <c r="CC21" s="315"/>
      <c r="CD21" s="314"/>
      <c r="CE21" s="312"/>
      <c r="CF21" s="312"/>
      <c r="CG21" s="312"/>
      <c r="CH21" s="315"/>
      <c r="CI21" s="314"/>
      <c r="CJ21" s="312"/>
      <c r="CK21" s="312"/>
      <c r="CL21" s="312"/>
      <c r="CM21" s="315"/>
      <c r="CN21" s="314"/>
      <c r="CO21" s="312"/>
      <c r="CP21" s="312"/>
      <c r="CQ21" s="312"/>
      <c r="CR21" s="315"/>
      <c r="CS21" s="314"/>
      <c r="CT21" s="312"/>
      <c r="CU21" s="312"/>
      <c r="CV21" s="312"/>
      <c r="CW21" s="315"/>
      <c r="CX21" s="314"/>
      <c r="CY21" s="312"/>
      <c r="CZ21" s="312"/>
      <c r="DA21" s="312"/>
      <c r="DB21" s="313"/>
      <c r="DC21" s="314"/>
      <c r="DD21" s="312"/>
      <c r="DE21" s="312"/>
      <c r="DF21" s="312"/>
      <c r="DG21" s="313"/>
      <c r="DH21" s="314"/>
      <c r="DI21" s="312"/>
      <c r="DJ21" s="312"/>
      <c r="DK21" s="312"/>
      <c r="DL21" s="313"/>
      <c r="DM21" s="305">
        <f>COUNTIF($G$21:$DL$21,"/")</f>
        <v>0</v>
      </c>
      <c r="DN21" s="305">
        <f>COUNTIF($G$21:$DL$21,"ป")</f>
        <v>0</v>
      </c>
      <c r="DO21" s="305">
        <f>COUNTIF($G$21:$DL$21,"ล")</f>
        <v>0</v>
      </c>
      <c r="DP21" s="305">
        <f>COUNTIF($G$21:$DL$21,"ข")</f>
        <v>0</v>
      </c>
      <c r="DQ21" s="304">
        <f t="shared" si="1"/>
        <v>0</v>
      </c>
      <c r="DR21" s="355">
        <f t="shared" si="0"/>
        <v>1</v>
      </c>
      <c r="DU21" s="140" t="s">
        <v>187</v>
      </c>
      <c r="DV21" s="175">
        <v>21</v>
      </c>
      <c r="DW21" s="175">
        <v>21</v>
      </c>
    </row>
    <row r="22" spans="1:127" ht="18" customHeight="1" x14ac:dyDescent="0.3">
      <c r="A22" s="309">
        <f>ปพ.5!$A$22</f>
        <v>17</v>
      </c>
      <c r="B22" s="322" t="str">
        <f>ปพ.5!$B$22</f>
        <v>6748</v>
      </c>
      <c r="C22" s="352" t="str">
        <f>ปพ.5!$C$22</f>
        <v>1119902601186</v>
      </c>
      <c r="D22" s="582" t="str">
        <f>ปพ.5!$D$22</f>
        <v>เด็กหญิง อภิญญา  ศรีมารินทร์</v>
      </c>
      <c r="E22" s="583"/>
      <c r="F22" s="584"/>
      <c r="G22" s="311"/>
      <c r="H22" s="312"/>
      <c r="I22" s="312"/>
      <c r="J22" s="312"/>
      <c r="K22" s="313"/>
      <c r="L22" s="314"/>
      <c r="M22" s="312"/>
      <c r="N22" s="312"/>
      <c r="O22" s="312"/>
      <c r="P22" s="315"/>
      <c r="Q22" s="314"/>
      <c r="R22" s="312"/>
      <c r="S22" s="312"/>
      <c r="T22" s="312"/>
      <c r="U22" s="315"/>
      <c r="V22" s="314"/>
      <c r="W22" s="312"/>
      <c r="X22" s="312"/>
      <c r="Y22" s="312"/>
      <c r="Z22" s="315"/>
      <c r="AA22" s="314"/>
      <c r="AB22" s="312"/>
      <c r="AC22" s="312"/>
      <c r="AD22" s="312"/>
      <c r="AE22" s="315"/>
      <c r="AF22" s="314"/>
      <c r="AG22" s="312"/>
      <c r="AH22" s="312"/>
      <c r="AI22" s="312"/>
      <c r="AJ22" s="315"/>
      <c r="AK22" s="314"/>
      <c r="AL22" s="312"/>
      <c r="AM22" s="312"/>
      <c r="AN22" s="312"/>
      <c r="AO22" s="315"/>
      <c r="AP22" s="314"/>
      <c r="AQ22" s="312"/>
      <c r="AR22" s="312"/>
      <c r="AS22" s="312"/>
      <c r="AT22" s="315"/>
      <c r="AU22" s="314"/>
      <c r="AV22" s="312"/>
      <c r="AW22" s="312"/>
      <c r="AX22" s="312"/>
      <c r="AY22" s="315"/>
      <c r="AZ22" s="314"/>
      <c r="BA22" s="312"/>
      <c r="BB22" s="312"/>
      <c r="BC22" s="312"/>
      <c r="BD22" s="315"/>
      <c r="BE22" s="314"/>
      <c r="BF22" s="312"/>
      <c r="BG22" s="312"/>
      <c r="BH22" s="312"/>
      <c r="BI22" s="315"/>
      <c r="BJ22" s="314"/>
      <c r="BK22" s="312"/>
      <c r="BL22" s="312"/>
      <c r="BM22" s="312"/>
      <c r="BN22" s="315"/>
      <c r="BO22" s="314"/>
      <c r="BP22" s="312"/>
      <c r="BQ22" s="312"/>
      <c r="BR22" s="312"/>
      <c r="BS22" s="315"/>
      <c r="BT22" s="314"/>
      <c r="BU22" s="312"/>
      <c r="BV22" s="312"/>
      <c r="BW22" s="312"/>
      <c r="BX22" s="315"/>
      <c r="BY22" s="314"/>
      <c r="BZ22" s="312"/>
      <c r="CA22" s="312"/>
      <c r="CB22" s="312"/>
      <c r="CC22" s="315"/>
      <c r="CD22" s="314"/>
      <c r="CE22" s="312"/>
      <c r="CF22" s="312"/>
      <c r="CG22" s="312"/>
      <c r="CH22" s="315"/>
      <c r="CI22" s="314"/>
      <c r="CJ22" s="312"/>
      <c r="CK22" s="312"/>
      <c r="CL22" s="312"/>
      <c r="CM22" s="315"/>
      <c r="CN22" s="314"/>
      <c r="CO22" s="312"/>
      <c r="CP22" s="312"/>
      <c r="CQ22" s="312"/>
      <c r="CR22" s="315"/>
      <c r="CS22" s="314"/>
      <c r="CT22" s="312"/>
      <c r="CU22" s="312"/>
      <c r="CV22" s="312"/>
      <c r="CW22" s="315"/>
      <c r="CX22" s="314"/>
      <c r="CY22" s="312"/>
      <c r="CZ22" s="312"/>
      <c r="DA22" s="312"/>
      <c r="DB22" s="313"/>
      <c r="DC22" s="314"/>
      <c r="DD22" s="312"/>
      <c r="DE22" s="312"/>
      <c r="DF22" s="312"/>
      <c r="DG22" s="313"/>
      <c r="DH22" s="314"/>
      <c r="DI22" s="312"/>
      <c r="DJ22" s="312"/>
      <c r="DK22" s="312"/>
      <c r="DL22" s="313"/>
      <c r="DM22" s="305">
        <f>COUNTIF($G$22:$DL$22,"/")</f>
        <v>0</v>
      </c>
      <c r="DN22" s="305">
        <f>COUNTIF($G$22:$DL$22,"ป")</f>
        <v>0</v>
      </c>
      <c r="DO22" s="305">
        <f>COUNTIF($G$22:$DL$22,"ล")</f>
        <v>0</v>
      </c>
      <c r="DP22" s="305">
        <f>COUNTIF($G$22:$DL$22,"ข")</f>
        <v>0</v>
      </c>
      <c r="DQ22" s="304">
        <f t="shared" si="1"/>
        <v>0</v>
      </c>
      <c r="DR22" s="355">
        <f t="shared" si="0"/>
        <v>1</v>
      </c>
      <c r="DU22" s="140" t="s">
        <v>188</v>
      </c>
      <c r="DV22" s="175">
        <v>22</v>
      </c>
      <c r="DW22" s="175">
        <v>22</v>
      </c>
    </row>
    <row r="23" spans="1:127" ht="18" customHeight="1" x14ac:dyDescent="0.3">
      <c r="A23" s="309">
        <f>ปพ.5!$A$23</f>
        <v>18</v>
      </c>
      <c r="B23" s="322" t="str">
        <f>ปพ.5!$B$23</f>
        <v>6749</v>
      </c>
      <c r="C23" s="352" t="str">
        <f>ปพ.5!$C$23</f>
        <v>1469500046827</v>
      </c>
      <c r="D23" s="582" t="str">
        <f>ปพ.5!$D$23</f>
        <v>เด็กหญิง เบญจา  คงเฉลียว</v>
      </c>
      <c r="E23" s="583"/>
      <c r="F23" s="584"/>
      <c r="G23" s="311"/>
      <c r="H23" s="312"/>
      <c r="I23" s="312"/>
      <c r="J23" s="312"/>
      <c r="K23" s="313"/>
      <c r="L23" s="314"/>
      <c r="M23" s="312"/>
      <c r="N23" s="312"/>
      <c r="O23" s="312"/>
      <c r="P23" s="315"/>
      <c r="Q23" s="314"/>
      <c r="R23" s="312"/>
      <c r="S23" s="312"/>
      <c r="T23" s="312"/>
      <c r="U23" s="315"/>
      <c r="V23" s="314"/>
      <c r="W23" s="312"/>
      <c r="X23" s="312"/>
      <c r="Y23" s="312"/>
      <c r="Z23" s="315"/>
      <c r="AA23" s="314"/>
      <c r="AB23" s="312"/>
      <c r="AC23" s="312"/>
      <c r="AD23" s="312"/>
      <c r="AE23" s="315"/>
      <c r="AF23" s="314"/>
      <c r="AG23" s="312"/>
      <c r="AH23" s="312"/>
      <c r="AI23" s="312"/>
      <c r="AJ23" s="315"/>
      <c r="AK23" s="314"/>
      <c r="AL23" s="312"/>
      <c r="AM23" s="312"/>
      <c r="AN23" s="312"/>
      <c r="AO23" s="315"/>
      <c r="AP23" s="314"/>
      <c r="AQ23" s="312"/>
      <c r="AR23" s="312"/>
      <c r="AS23" s="312"/>
      <c r="AT23" s="315"/>
      <c r="AU23" s="314"/>
      <c r="AV23" s="312"/>
      <c r="AW23" s="312"/>
      <c r="AX23" s="312"/>
      <c r="AY23" s="315"/>
      <c r="AZ23" s="314"/>
      <c r="BA23" s="312"/>
      <c r="BB23" s="312"/>
      <c r="BC23" s="312"/>
      <c r="BD23" s="315"/>
      <c r="BE23" s="314"/>
      <c r="BF23" s="312"/>
      <c r="BG23" s="312"/>
      <c r="BH23" s="312"/>
      <c r="BI23" s="315"/>
      <c r="BJ23" s="314"/>
      <c r="BK23" s="312"/>
      <c r="BL23" s="312"/>
      <c r="BM23" s="312"/>
      <c r="BN23" s="315"/>
      <c r="BO23" s="314"/>
      <c r="BP23" s="312"/>
      <c r="BQ23" s="312"/>
      <c r="BR23" s="312"/>
      <c r="BS23" s="315"/>
      <c r="BT23" s="314"/>
      <c r="BU23" s="312"/>
      <c r="BV23" s="312"/>
      <c r="BW23" s="312"/>
      <c r="BX23" s="315"/>
      <c r="BY23" s="314"/>
      <c r="BZ23" s="312"/>
      <c r="CA23" s="312"/>
      <c r="CB23" s="312"/>
      <c r="CC23" s="315"/>
      <c r="CD23" s="314"/>
      <c r="CE23" s="312"/>
      <c r="CF23" s="312"/>
      <c r="CG23" s="312"/>
      <c r="CH23" s="315"/>
      <c r="CI23" s="314"/>
      <c r="CJ23" s="312"/>
      <c r="CK23" s="312"/>
      <c r="CL23" s="312"/>
      <c r="CM23" s="315"/>
      <c r="CN23" s="314"/>
      <c r="CO23" s="312"/>
      <c r="CP23" s="312"/>
      <c r="CQ23" s="312"/>
      <c r="CR23" s="315"/>
      <c r="CS23" s="314"/>
      <c r="CT23" s="312"/>
      <c r="CU23" s="312"/>
      <c r="CV23" s="312"/>
      <c r="CW23" s="315"/>
      <c r="CX23" s="314"/>
      <c r="CY23" s="312"/>
      <c r="CZ23" s="312"/>
      <c r="DA23" s="312"/>
      <c r="DB23" s="313"/>
      <c r="DC23" s="314"/>
      <c r="DD23" s="312"/>
      <c r="DE23" s="312"/>
      <c r="DF23" s="312"/>
      <c r="DG23" s="313"/>
      <c r="DH23" s="314"/>
      <c r="DI23" s="312"/>
      <c r="DJ23" s="312"/>
      <c r="DK23" s="312"/>
      <c r="DL23" s="313"/>
      <c r="DM23" s="305">
        <f>COUNTIF($G$23:$DL$23,"/")</f>
        <v>0</v>
      </c>
      <c r="DN23" s="305">
        <f>COUNTIF($G$23:$DL$23,"ป")</f>
        <v>0</v>
      </c>
      <c r="DO23" s="305">
        <f>COUNTIF($G$23:$DL$23,"ล")</f>
        <v>0</v>
      </c>
      <c r="DP23" s="305">
        <f>COUNTIF($G$23:$DL$23,"ข")</f>
        <v>0</v>
      </c>
      <c r="DQ23" s="304">
        <f t="shared" si="1"/>
        <v>0</v>
      </c>
      <c r="DR23" s="355">
        <f t="shared" si="0"/>
        <v>1</v>
      </c>
      <c r="DV23" s="175">
        <v>23</v>
      </c>
      <c r="DW23" s="175">
        <v>23</v>
      </c>
    </row>
    <row r="24" spans="1:127" ht="18" customHeight="1" x14ac:dyDescent="0.3">
      <c r="A24" s="309">
        <f>ปพ.5!$A$24</f>
        <v>19</v>
      </c>
      <c r="B24" s="322" t="str">
        <f>ปพ.5!$B$24</f>
        <v>6755</v>
      </c>
      <c r="C24" s="352" t="str">
        <f>ปพ.5!$C$24</f>
        <v>1100704207939</v>
      </c>
      <c r="D24" s="582" t="str">
        <f>ปพ.5!$D$24</f>
        <v>เด็กชาย สมรรถ  ใจใส</v>
      </c>
      <c r="E24" s="583"/>
      <c r="F24" s="584"/>
      <c r="G24" s="311"/>
      <c r="H24" s="312"/>
      <c r="I24" s="312"/>
      <c r="J24" s="312"/>
      <c r="K24" s="313"/>
      <c r="L24" s="314"/>
      <c r="M24" s="312"/>
      <c r="N24" s="312"/>
      <c r="O24" s="312"/>
      <c r="P24" s="315"/>
      <c r="Q24" s="314"/>
      <c r="R24" s="312"/>
      <c r="S24" s="312"/>
      <c r="T24" s="312"/>
      <c r="U24" s="315"/>
      <c r="V24" s="314"/>
      <c r="W24" s="312"/>
      <c r="X24" s="312"/>
      <c r="Y24" s="312"/>
      <c r="Z24" s="315"/>
      <c r="AA24" s="314"/>
      <c r="AB24" s="312"/>
      <c r="AC24" s="312"/>
      <c r="AD24" s="312"/>
      <c r="AE24" s="315"/>
      <c r="AF24" s="314"/>
      <c r="AG24" s="312"/>
      <c r="AH24" s="312"/>
      <c r="AI24" s="312"/>
      <c r="AJ24" s="315"/>
      <c r="AK24" s="314"/>
      <c r="AL24" s="312"/>
      <c r="AM24" s="312"/>
      <c r="AN24" s="312"/>
      <c r="AO24" s="315"/>
      <c r="AP24" s="314"/>
      <c r="AQ24" s="312"/>
      <c r="AR24" s="312"/>
      <c r="AS24" s="312"/>
      <c r="AT24" s="315"/>
      <c r="AU24" s="314"/>
      <c r="AV24" s="312"/>
      <c r="AW24" s="312"/>
      <c r="AX24" s="312"/>
      <c r="AY24" s="315"/>
      <c r="AZ24" s="314"/>
      <c r="BA24" s="312"/>
      <c r="BB24" s="312"/>
      <c r="BC24" s="312"/>
      <c r="BD24" s="315"/>
      <c r="BE24" s="314"/>
      <c r="BF24" s="312"/>
      <c r="BG24" s="312"/>
      <c r="BH24" s="312"/>
      <c r="BI24" s="315"/>
      <c r="BJ24" s="314"/>
      <c r="BK24" s="312"/>
      <c r="BL24" s="312"/>
      <c r="BM24" s="312"/>
      <c r="BN24" s="315"/>
      <c r="BO24" s="314"/>
      <c r="BP24" s="312"/>
      <c r="BQ24" s="312"/>
      <c r="BR24" s="312"/>
      <c r="BS24" s="315"/>
      <c r="BT24" s="314"/>
      <c r="BU24" s="312"/>
      <c r="BV24" s="312"/>
      <c r="BW24" s="312"/>
      <c r="BX24" s="315"/>
      <c r="BY24" s="314"/>
      <c r="BZ24" s="312"/>
      <c r="CA24" s="312"/>
      <c r="CB24" s="312"/>
      <c r="CC24" s="315"/>
      <c r="CD24" s="314"/>
      <c r="CE24" s="312"/>
      <c r="CF24" s="312"/>
      <c r="CG24" s="312"/>
      <c r="CH24" s="315"/>
      <c r="CI24" s="314"/>
      <c r="CJ24" s="312"/>
      <c r="CK24" s="312"/>
      <c r="CL24" s="312"/>
      <c r="CM24" s="315"/>
      <c r="CN24" s="314"/>
      <c r="CO24" s="312"/>
      <c r="CP24" s="312"/>
      <c r="CQ24" s="312"/>
      <c r="CR24" s="315"/>
      <c r="CS24" s="314"/>
      <c r="CT24" s="312"/>
      <c r="CU24" s="312"/>
      <c r="CV24" s="312"/>
      <c r="CW24" s="315"/>
      <c r="CX24" s="314"/>
      <c r="CY24" s="312"/>
      <c r="CZ24" s="312"/>
      <c r="DA24" s="312"/>
      <c r="DB24" s="313"/>
      <c r="DC24" s="314"/>
      <c r="DD24" s="312"/>
      <c r="DE24" s="312"/>
      <c r="DF24" s="312"/>
      <c r="DG24" s="313"/>
      <c r="DH24" s="314"/>
      <c r="DI24" s="312"/>
      <c r="DJ24" s="312"/>
      <c r="DK24" s="312"/>
      <c r="DL24" s="313"/>
      <c r="DM24" s="305">
        <f>COUNTIF($G$24:$DL$24,"/")</f>
        <v>0</v>
      </c>
      <c r="DN24" s="305">
        <f>COUNTIF($G$24:$DL$24,"ป")</f>
        <v>0</v>
      </c>
      <c r="DO24" s="305">
        <f>COUNTIF($G$24:$DL$24,"ล")</f>
        <v>0</v>
      </c>
      <c r="DP24" s="305">
        <f>COUNTIF($G$24:$DL$24,"ข")</f>
        <v>0</v>
      </c>
      <c r="DQ24" s="304">
        <f t="shared" si="1"/>
        <v>0</v>
      </c>
      <c r="DR24" s="355">
        <f t="shared" si="0"/>
        <v>1</v>
      </c>
      <c r="DV24" s="175">
        <v>24</v>
      </c>
      <c r="DW24" s="175">
        <v>24</v>
      </c>
    </row>
    <row r="25" spans="1:127" ht="18" customHeight="1" x14ac:dyDescent="0.3">
      <c r="A25" s="309">
        <f>ปพ.5!$A$25</f>
        <v>20</v>
      </c>
      <c r="B25" s="322" t="str">
        <f>ปพ.5!$B$25</f>
        <v>6758</v>
      </c>
      <c r="C25" s="352" t="str">
        <f>ปพ.5!$C$25</f>
        <v>1100704257120</v>
      </c>
      <c r="D25" s="582" t="str">
        <f>ปพ.5!$D$25</f>
        <v>เด็กชาย ธีรศิลป์  องค์ศิริศิลป์</v>
      </c>
      <c r="E25" s="583"/>
      <c r="F25" s="584"/>
      <c r="G25" s="311"/>
      <c r="H25" s="312"/>
      <c r="I25" s="312"/>
      <c r="J25" s="312"/>
      <c r="K25" s="313"/>
      <c r="L25" s="314"/>
      <c r="M25" s="312"/>
      <c r="N25" s="312"/>
      <c r="O25" s="312"/>
      <c r="P25" s="315"/>
      <c r="Q25" s="314"/>
      <c r="R25" s="312"/>
      <c r="S25" s="312"/>
      <c r="T25" s="312"/>
      <c r="U25" s="315"/>
      <c r="V25" s="314"/>
      <c r="W25" s="312"/>
      <c r="X25" s="312"/>
      <c r="Y25" s="312"/>
      <c r="Z25" s="315"/>
      <c r="AA25" s="314"/>
      <c r="AB25" s="312"/>
      <c r="AC25" s="312"/>
      <c r="AD25" s="312"/>
      <c r="AE25" s="315"/>
      <c r="AF25" s="314"/>
      <c r="AG25" s="312"/>
      <c r="AH25" s="312"/>
      <c r="AI25" s="312"/>
      <c r="AJ25" s="315"/>
      <c r="AK25" s="314"/>
      <c r="AL25" s="312"/>
      <c r="AM25" s="312"/>
      <c r="AN25" s="312"/>
      <c r="AO25" s="315"/>
      <c r="AP25" s="314"/>
      <c r="AQ25" s="312"/>
      <c r="AR25" s="312"/>
      <c r="AS25" s="312"/>
      <c r="AT25" s="315"/>
      <c r="AU25" s="314"/>
      <c r="AV25" s="312"/>
      <c r="AW25" s="312"/>
      <c r="AX25" s="312"/>
      <c r="AY25" s="315"/>
      <c r="AZ25" s="314"/>
      <c r="BA25" s="312"/>
      <c r="BB25" s="312"/>
      <c r="BC25" s="312"/>
      <c r="BD25" s="315"/>
      <c r="BE25" s="314"/>
      <c r="BF25" s="312"/>
      <c r="BG25" s="312"/>
      <c r="BH25" s="312"/>
      <c r="BI25" s="315"/>
      <c r="BJ25" s="314"/>
      <c r="BK25" s="312"/>
      <c r="BL25" s="312"/>
      <c r="BM25" s="312"/>
      <c r="BN25" s="315"/>
      <c r="BO25" s="314"/>
      <c r="BP25" s="312"/>
      <c r="BQ25" s="312"/>
      <c r="BR25" s="312"/>
      <c r="BS25" s="315"/>
      <c r="BT25" s="314"/>
      <c r="BU25" s="312"/>
      <c r="BV25" s="312"/>
      <c r="BW25" s="312"/>
      <c r="BX25" s="315"/>
      <c r="BY25" s="314"/>
      <c r="BZ25" s="312"/>
      <c r="CA25" s="312"/>
      <c r="CB25" s="312"/>
      <c r="CC25" s="315"/>
      <c r="CD25" s="314"/>
      <c r="CE25" s="312"/>
      <c r="CF25" s="312"/>
      <c r="CG25" s="312"/>
      <c r="CH25" s="315"/>
      <c r="CI25" s="314"/>
      <c r="CJ25" s="312"/>
      <c r="CK25" s="312"/>
      <c r="CL25" s="312"/>
      <c r="CM25" s="315"/>
      <c r="CN25" s="314"/>
      <c r="CO25" s="312"/>
      <c r="CP25" s="312"/>
      <c r="CQ25" s="312"/>
      <c r="CR25" s="315"/>
      <c r="CS25" s="314"/>
      <c r="CT25" s="312"/>
      <c r="CU25" s="312"/>
      <c r="CV25" s="312"/>
      <c r="CW25" s="315"/>
      <c r="CX25" s="314"/>
      <c r="CY25" s="312"/>
      <c r="CZ25" s="312"/>
      <c r="DA25" s="312"/>
      <c r="DB25" s="313"/>
      <c r="DC25" s="314"/>
      <c r="DD25" s="312"/>
      <c r="DE25" s="312"/>
      <c r="DF25" s="312"/>
      <c r="DG25" s="313"/>
      <c r="DH25" s="314"/>
      <c r="DI25" s="312"/>
      <c r="DJ25" s="312"/>
      <c r="DK25" s="312"/>
      <c r="DL25" s="313"/>
      <c r="DM25" s="305">
        <f>COUNTIF($G$25:$DL$25,"/")</f>
        <v>0</v>
      </c>
      <c r="DN25" s="305">
        <f>COUNTIF($G$25:$DL$25,"ป")</f>
        <v>0</v>
      </c>
      <c r="DO25" s="305">
        <f>COUNTIF($G$25:$DL$25,"ล")</f>
        <v>0</v>
      </c>
      <c r="DP25" s="305">
        <f>COUNTIF($G$25:$DL$25,"ข")</f>
        <v>0</v>
      </c>
      <c r="DQ25" s="304">
        <f t="shared" si="1"/>
        <v>0</v>
      </c>
      <c r="DR25" s="355">
        <f t="shared" si="0"/>
        <v>1</v>
      </c>
      <c r="DV25" s="175">
        <v>25</v>
      </c>
      <c r="DW25" s="175">
        <v>25</v>
      </c>
    </row>
    <row r="26" spans="1:127" ht="18" customHeight="1" x14ac:dyDescent="0.3">
      <c r="A26" s="309">
        <f>ปพ.5!$A$26</f>
        <v>21</v>
      </c>
      <c r="B26" s="322" t="str">
        <f>ปพ.5!$B$26</f>
        <v>6777</v>
      </c>
      <c r="C26" s="352" t="str">
        <f>ปพ.5!$C$26</f>
        <v>1100704250966</v>
      </c>
      <c r="D26" s="582" t="str">
        <f>ปพ.5!$D$26</f>
        <v>เด็กหญิง สิริรักษ์  คำแสน</v>
      </c>
      <c r="E26" s="583"/>
      <c r="F26" s="584"/>
      <c r="G26" s="311"/>
      <c r="H26" s="312"/>
      <c r="I26" s="312"/>
      <c r="J26" s="312"/>
      <c r="K26" s="313"/>
      <c r="L26" s="314"/>
      <c r="M26" s="312"/>
      <c r="N26" s="312"/>
      <c r="O26" s="312"/>
      <c r="P26" s="315"/>
      <c r="Q26" s="314"/>
      <c r="R26" s="312"/>
      <c r="S26" s="312"/>
      <c r="T26" s="312"/>
      <c r="U26" s="315"/>
      <c r="V26" s="314"/>
      <c r="W26" s="312"/>
      <c r="X26" s="312"/>
      <c r="Y26" s="312"/>
      <c r="Z26" s="315"/>
      <c r="AA26" s="314"/>
      <c r="AB26" s="312"/>
      <c r="AC26" s="312"/>
      <c r="AD26" s="312"/>
      <c r="AE26" s="315"/>
      <c r="AF26" s="314"/>
      <c r="AG26" s="312"/>
      <c r="AH26" s="312"/>
      <c r="AI26" s="312"/>
      <c r="AJ26" s="315"/>
      <c r="AK26" s="314"/>
      <c r="AL26" s="312"/>
      <c r="AM26" s="312"/>
      <c r="AN26" s="312"/>
      <c r="AO26" s="315"/>
      <c r="AP26" s="314"/>
      <c r="AQ26" s="312"/>
      <c r="AR26" s="312"/>
      <c r="AS26" s="312"/>
      <c r="AT26" s="315"/>
      <c r="AU26" s="314"/>
      <c r="AV26" s="312"/>
      <c r="AW26" s="312"/>
      <c r="AX26" s="312"/>
      <c r="AY26" s="315"/>
      <c r="AZ26" s="314"/>
      <c r="BA26" s="312"/>
      <c r="BB26" s="312"/>
      <c r="BC26" s="312"/>
      <c r="BD26" s="315"/>
      <c r="BE26" s="314"/>
      <c r="BF26" s="312"/>
      <c r="BG26" s="312"/>
      <c r="BH26" s="312"/>
      <c r="BI26" s="315"/>
      <c r="BJ26" s="314"/>
      <c r="BK26" s="312"/>
      <c r="BL26" s="312"/>
      <c r="BM26" s="312"/>
      <c r="BN26" s="315"/>
      <c r="BO26" s="314"/>
      <c r="BP26" s="312"/>
      <c r="BQ26" s="312"/>
      <c r="BR26" s="312"/>
      <c r="BS26" s="315"/>
      <c r="BT26" s="314"/>
      <c r="BU26" s="312"/>
      <c r="BV26" s="312"/>
      <c r="BW26" s="312"/>
      <c r="BX26" s="315"/>
      <c r="BY26" s="314"/>
      <c r="BZ26" s="312"/>
      <c r="CA26" s="312"/>
      <c r="CB26" s="312"/>
      <c r="CC26" s="315"/>
      <c r="CD26" s="314"/>
      <c r="CE26" s="312"/>
      <c r="CF26" s="312"/>
      <c r="CG26" s="312"/>
      <c r="CH26" s="315"/>
      <c r="CI26" s="314"/>
      <c r="CJ26" s="312"/>
      <c r="CK26" s="312"/>
      <c r="CL26" s="312"/>
      <c r="CM26" s="315"/>
      <c r="CN26" s="314"/>
      <c r="CO26" s="312"/>
      <c r="CP26" s="312"/>
      <c r="CQ26" s="312"/>
      <c r="CR26" s="315"/>
      <c r="CS26" s="314"/>
      <c r="CT26" s="312"/>
      <c r="CU26" s="312"/>
      <c r="CV26" s="312"/>
      <c r="CW26" s="315"/>
      <c r="CX26" s="314"/>
      <c r="CY26" s="312"/>
      <c r="CZ26" s="312"/>
      <c r="DA26" s="312"/>
      <c r="DB26" s="313"/>
      <c r="DC26" s="314"/>
      <c r="DD26" s="312"/>
      <c r="DE26" s="312"/>
      <c r="DF26" s="312"/>
      <c r="DG26" s="313"/>
      <c r="DH26" s="314"/>
      <c r="DI26" s="312"/>
      <c r="DJ26" s="312"/>
      <c r="DK26" s="312"/>
      <c r="DL26" s="313"/>
      <c r="DM26" s="305">
        <f>COUNTIF($G$26:$DL$26,"/")</f>
        <v>0</v>
      </c>
      <c r="DN26" s="305">
        <f>COUNTIF($G$26:$DL$26,"ป")</f>
        <v>0</v>
      </c>
      <c r="DO26" s="305">
        <f>COUNTIF($G$26:$DL$26,"ล")</f>
        <v>0</v>
      </c>
      <c r="DP26" s="305">
        <f>COUNTIF($G$26:$DL$26,"ข")</f>
        <v>0</v>
      </c>
      <c r="DQ26" s="304">
        <f t="shared" si="1"/>
        <v>0</v>
      </c>
      <c r="DR26" s="355">
        <f t="shared" si="0"/>
        <v>1</v>
      </c>
      <c r="DV26" s="175">
        <v>26</v>
      </c>
      <c r="DW26" s="175">
        <v>26</v>
      </c>
    </row>
    <row r="27" spans="1:127" ht="18" customHeight="1" x14ac:dyDescent="0.3">
      <c r="A27" s="309">
        <f>ปพ.5!$A$27</f>
        <v>22</v>
      </c>
      <c r="B27" s="322" t="str">
        <f>ปพ.5!$B$27</f>
        <v>6788</v>
      </c>
      <c r="C27" s="352" t="str">
        <f>ปพ.5!$C$27</f>
        <v>1339600238206</v>
      </c>
      <c r="D27" s="582" t="str">
        <f>ปพ.5!$D$27</f>
        <v>เด็กชาย รัชกฤต  ฐิรวุฒิกร</v>
      </c>
      <c r="E27" s="583"/>
      <c r="F27" s="584"/>
      <c r="G27" s="311"/>
      <c r="H27" s="312"/>
      <c r="I27" s="312"/>
      <c r="J27" s="312"/>
      <c r="K27" s="313"/>
      <c r="L27" s="314"/>
      <c r="M27" s="312"/>
      <c r="N27" s="312"/>
      <c r="O27" s="312"/>
      <c r="P27" s="315"/>
      <c r="Q27" s="314"/>
      <c r="R27" s="312"/>
      <c r="S27" s="312"/>
      <c r="T27" s="312"/>
      <c r="U27" s="315"/>
      <c r="V27" s="314"/>
      <c r="W27" s="312"/>
      <c r="X27" s="312"/>
      <c r="Y27" s="312"/>
      <c r="Z27" s="315"/>
      <c r="AA27" s="314"/>
      <c r="AB27" s="312"/>
      <c r="AC27" s="312"/>
      <c r="AD27" s="312"/>
      <c r="AE27" s="315"/>
      <c r="AF27" s="314"/>
      <c r="AG27" s="312"/>
      <c r="AH27" s="312"/>
      <c r="AI27" s="312"/>
      <c r="AJ27" s="315"/>
      <c r="AK27" s="314"/>
      <c r="AL27" s="312"/>
      <c r="AM27" s="312"/>
      <c r="AN27" s="312"/>
      <c r="AO27" s="315"/>
      <c r="AP27" s="314"/>
      <c r="AQ27" s="312"/>
      <c r="AR27" s="312"/>
      <c r="AS27" s="312"/>
      <c r="AT27" s="315"/>
      <c r="AU27" s="314"/>
      <c r="AV27" s="312"/>
      <c r="AW27" s="312"/>
      <c r="AX27" s="312"/>
      <c r="AY27" s="315"/>
      <c r="AZ27" s="314"/>
      <c r="BA27" s="312"/>
      <c r="BB27" s="312"/>
      <c r="BC27" s="312"/>
      <c r="BD27" s="315"/>
      <c r="BE27" s="314"/>
      <c r="BF27" s="312"/>
      <c r="BG27" s="312"/>
      <c r="BH27" s="312"/>
      <c r="BI27" s="315"/>
      <c r="BJ27" s="314"/>
      <c r="BK27" s="312"/>
      <c r="BL27" s="312"/>
      <c r="BM27" s="312"/>
      <c r="BN27" s="315"/>
      <c r="BO27" s="314"/>
      <c r="BP27" s="312"/>
      <c r="BQ27" s="312"/>
      <c r="BR27" s="312"/>
      <c r="BS27" s="315"/>
      <c r="BT27" s="314"/>
      <c r="BU27" s="312"/>
      <c r="BV27" s="312"/>
      <c r="BW27" s="312"/>
      <c r="BX27" s="315"/>
      <c r="BY27" s="314"/>
      <c r="BZ27" s="312"/>
      <c r="CA27" s="312"/>
      <c r="CB27" s="312"/>
      <c r="CC27" s="315"/>
      <c r="CD27" s="314"/>
      <c r="CE27" s="312"/>
      <c r="CF27" s="312"/>
      <c r="CG27" s="312"/>
      <c r="CH27" s="315"/>
      <c r="CI27" s="314"/>
      <c r="CJ27" s="312"/>
      <c r="CK27" s="312"/>
      <c r="CL27" s="312"/>
      <c r="CM27" s="315"/>
      <c r="CN27" s="314"/>
      <c r="CO27" s="312"/>
      <c r="CP27" s="312"/>
      <c r="CQ27" s="312"/>
      <c r="CR27" s="315"/>
      <c r="CS27" s="314"/>
      <c r="CT27" s="312"/>
      <c r="CU27" s="312"/>
      <c r="CV27" s="312"/>
      <c r="CW27" s="315"/>
      <c r="CX27" s="314"/>
      <c r="CY27" s="312"/>
      <c r="CZ27" s="312"/>
      <c r="DA27" s="312"/>
      <c r="DB27" s="313"/>
      <c r="DC27" s="314"/>
      <c r="DD27" s="312"/>
      <c r="DE27" s="312"/>
      <c r="DF27" s="312"/>
      <c r="DG27" s="313"/>
      <c r="DH27" s="314"/>
      <c r="DI27" s="312"/>
      <c r="DJ27" s="312"/>
      <c r="DK27" s="312"/>
      <c r="DL27" s="313"/>
      <c r="DM27" s="305">
        <f>COUNTIF($G$27:$DL$27,"/")</f>
        <v>0</v>
      </c>
      <c r="DN27" s="305">
        <f>COUNTIF($G$27:$DL$27,"ป")</f>
        <v>0</v>
      </c>
      <c r="DO27" s="305">
        <f>COUNTIF($G$27:$DL$27,"ล")</f>
        <v>0</v>
      </c>
      <c r="DP27" s="305">
        <f>COUNTIF($G$27:$DL$27,"ข")</f>
        <v>0</v>
      </c>
      <c r="DQ27" s="304">
        <f t="shared" si="1"/>
        <v>0</v>
      </c>
      <c r="DR27" s="355">
        <f t="shared" si="0"/>
        <v>1</v>
      </c>
      <c r="DV27" s="175">
        <v>27</v>
      </c>
      <c r="DW27" s="175">
        <v>27</v>
      </c>
    </row>
    <row r="28" spans="1:127" ht="18" customHeight="1" x14ac:dyDescent="0.3">
      <c r="A28" s="309">
        <f>ปพ.5!$A$28</f>
        <v>23</v>
      </c>
      <c r="B28" s="322" t="str">
        <f>ปพ.5!$B$28</f>
        <v>6798</v>
      </c>
      <c r="C28" s="352" t="str">
        <f>ปพ.5!$C$28</f>
        <v>1100704219759</v>
      </c>
      <c r="D28" s="582" t="str">
        <f>ปพ.5!$D$28</f>
        <v>เด็กหญิง ธนาภา  มิ่งเมือง</v>
      </c>
      <c r="E28" s="583"/>
      <c r="F28" s="584"/>
      <c r="G28" s="311"/>
      <c r="H28" s="312"/>
      <c r="I28" s="312"/>
      <c r="J28" s="312"/>
      <c r="K28" s="313"/>
      <c r="L28" s="314"/>
      <c r="M28" s="312"/>
      <c r="N28" s="312"/>
      <c r="O28" s="312"/>
      <c r="P28" s="315"/>
      <c r="Q28" s="314"/>
      <c r="R28" s="312"/>
      <c r="S28" s="312"/>
      <c r="T28" s="312"/>
      <c r="U28" s="315"/>
      <c r="V28" s="314"/>
      <c r="W28" s="312"/>
      <c r="X28" s="312"/>
      <c r="Y28" s="312"/>
      <c r="Z28" s="315"/>
      <c r="AA28" s="314"/>
      <c r="AB28" s="312"/>
      <c r="AC28" s="312"/>
      <c r="AD28" s="312"/>
      <c r="AE28" s="315"/>
      <c r="AF28" s="314"/>
      <c r="AG28" s="312"/>
      <c r="AH28" s="312"/>
      <c r="AI28" s="312"/>
      <c r="AJ28" s="315"/>
      <c r="AK28" s="314"/>
      <c r="AL28" s="312"/>
      <c r="AM28" s="312"/>
      <c r="AN28" s="312"/>
      <c r="AO28" s="315"/>
      <c r="AP28" s="314"/>
      <c r="AQ28" s="312"/>
      <c r="AR28" s="312"/>
      <c r="AS28" s="312"/>
      <c r="AT28" s="315"/>
      <c r="AU28" s="314"/>
      <c r="AV28" s="312"/>
      <c r="AW28" s="312"/>
      <c r="AX28" s="312"/>
      <c r="AY28" s="315"/>
      <c r="AZ28" s="314"/>
      <c r="BA28" s="312"/>
      <c r="BB28" s="312"/>
      <c r="BC28" s="312"/>
      <c r="BD28" s="315"/>
      <c r="BE28" s="314"/>
      <c r="BF28" s="312"/>
      <c r="BG28" s="312"/>
      <c r="BH28" s="312"/>
      <c r="BI28" s="315"/>
      <c r="BJ28" s="314"/>
      <c r="BK28" s="312"/>
      <c r="BL28" s="312"/>
      <c r="BM28" s="312"/>
      <c r="BN28" s="315"/>
      <c r="BO28" s="314"/>
      <c r="BP28" s="312"/>
      <c r="BQ28" s="312"/>
      <c r="BR28" s="312"/>
      <c r="BS28" s="315"/>
      <c r="BT28" s="314"/>
      <c r="BU28" s="312"/>
      <c r="BV28" s="312"/>
      <c r="BW28" s="312"/>
      <c r="BX28" s="315"/>
      <c r="BY28" s="314"/>
      <c r="BZ28" s="312"/>
      <c r="CA28" s="312"/>
      <c r="CB28" s="312"/>
      <c r="CC28" s="315"/>
      <c r="CD28" s="314"/>
      <c r="CE28" s="312"/>
      <c r="CF28" s="312"/>
      <c r="CG28" s="312"/>
      <c r="CH28" s="315"/>
      <c r="CI28" s="314"/>
      <c r="CJ28" s="312"/>
      <c r="CK28" s="312"/>
      <c r="CL28" s="312"/>
      <c r="CM28" s="315"/>
      <c r="CN28" s="314"/>
      <c r="CO28" s="312"/>
      <c r="CP28" s="312"/>
      <c r="CQ28" s="312"/>
      <c r="CR28" s="315"/>
      <c r="CS28" s="314"/>
      <c r="CT28" s="312"/>
      <c r="CU28" s="312"/>
      <c r="CV28" s="312"/>
      <c r="CW28" s="315"/>
      <c r="CX28" s="314"/>
      <c r="CY28" s="312"/>
      <c r="CZ28" s="312"/>
      <c r="DA28" s="312"/>
      <c r="DB28" s="313"/>
      <c r="DC28" s="314"/>
      <c r="DD28" s="312"/>
      <c r="DE28" s="312"/>
      <c r="DF28" s="312"/>
      <c r="DG28" s="313"/>
      <c r="DH28" s="314"/>
      <c r="DI28" s="312"/>
      <c r="DJ28" s="312"/>
      <c r="DK28" s="312"/>
      <c r="DL28" s="313"/>
      <c r="DM28" s="305">
        <f>COUNTIF($G$28:$DL$28,"/")</f>
        <v>0</v>
      </c>
      <c r="DN28" s="305">
        <f>COUNTIF($G$28:$DL$28,"ป")</f>
        <v>0</v>
      </c>
      <c r="DO28" s="305">
        <f>COUNTIF($G$28:$DL$28,"ล")</f>
        <v>0</v>
      </c>
      <c r="DP28" s="305">
        <f>COUNTIF($G$28:$DL$28,"ข")</f>
        <v>0</v>
      </c>
      <c r="DQ28" s="304">
        <f t="shared" si="1"/>
        <v>0</v>
      </c>
      <c r="DR28" s="355">
        <f t="shared" si="0"/>
        <v>1</v>
      </c>
      <c r="DV28" s="175">
        <v>28</v>
      </c>
      <c r="DW28" s="175">
        <v>28</v>
      </c>
    </row>
    <row r="29" spans="1:127" ht="18" customHeight="1" x14ac:dyDescent="0.3">
      <c r="A29" s="309">
        <f>ปพ.5!$A$29</f>
        <v>24</v>
      </c>
      <c r="B29" s="322" t="str">
        <f>ปพ.5!$B$29</f>
        <v>6803</v>
      </c>
      <c r="C29" s="352" t="str">
        <f>ปพ.5!$C$29</f>
        <v>1103200227696</v>
      </c>
      <c r="D29" s="582" t="str">
        <f>ปพ.5!$D$29</f>
        <v>เด็กหญิง เณฐฬฏาก์  จรูญศิริโรจน์</v>
      </c>
      <c r="E29" s="583"/>
      <c r="F29" s="584"/>
      <c r="G29" s="311"/>
      <c r="H29" s="312"/>
      <c r="I29" s="312"/>
      <c r="J29" s="312"/>
      <c r="K29" s="313"/>
      <c r="L29" s="314"/>
      <c r="M29" s="312"/>
      <c r="N29" s="312"/>
      <c r="O29" s="312"/>
      <c r="P29" s="315"/>
      <c r="Q29" s="314"/>
      <c r="R29" s="312"/>
      <c r="S29" s="312"/>
      <c r="T29" s="312"/>
      <c r="U29" s="315"/>
      <c r="V29" s="314"/>
      <c r="W29" s="312"/>
      <c r="X29" s="312"/>
      <c r="Y29" s="312"/>
      <c r="Z29" s="315"/>
      <c r="AA29" s="314"/>
      <c r="AB29" s="312"/>
      <c r="AC29" s="312"/>
      <c r="AD29" s="312"/>
      <c r="AE29" s="315"/>
      <c r="AF29" s="314"/>
      <c r="AG29" s="312"/>
      <c r="AH29" s="312"/>
      <c r="AI29" s="312"/>
      <c r="AJ29" s="315"/>
      <c r="AK29" s="314"/>
      <c r="AL29" s="312"/>
      <c r="AM29" s="312"/>
      <c r="AN29" s="312"/>
      <c r="AO29" s="315"/>
      <c r="AP29" s="314"/>
      <c r="AQ29" s="312"/>
      <c r="AR29" s="312"/>
      <c r="AS29" s="312"/>
      <c r="AT29" s="315"/>
      <c r="AU29" s="314"/>
      <c r="AV29" s="312"/>
      <c r="AW29" s="312"/>
      <c r="AX29" s="312"/>
      <c r="AY29" s="315"/>
      <c r="AZ29" s="314"/>
      <c r="BA29" s="312"/>
      <c r="BB29" s="312"/>
      <c r="BC29" s="312"/>
      <c r="BD29" s="315"/>
      <c r="BE29" s="314"/>
      <c r="BF29" s="312"/>
      <c r="BG29" s="312"/>
      <c r="BH29" s="312"/>
      <c r="BI29" s="315"/>
      <c r="BJ29" s="314"/>
      <c r="BK29" s="312"/>
      <c r="BL29" s="312"/>
      <c r="BM29" s="312"/>
      <c r="BN29" s="315"/>
      <c r="BO29" s="314"/>
      <c r="BP29" s="312"/>
      <c r="BQ29" s="312"/>
      <c r="BR29" s="312"/>
      <c r="BS29" s="315"/>
      <c r="BT29" s="314"/>
      <c r="BU29" s="312"/>
      <c r="BV29" s="312"/>
      <c r="BW29" s="312"/>
      <c r="BX29" s="315"/>
      <c r="BY29" s="314"/>
      <c r="BZ29" s="312"/>
      <c r="CA29" s="312"/>
      <c r="CB29" s="312"/>
      <c r="CC29" s="315"/>
      <c r="CD29" s="314"/>
      <c r="CE29" s="312"/>
      <c r="CF29" s="312"/>
      <c r="CG29" s="312"/>
      <c r="CH29" s="315"/>
      <c r="CI29" s="314"/>
      <c r="CJ29" s="312"/>
      <c r="CK29" s="312"/>
      <c r="CL29" s="312"/>
      <c r="CM29" s="315"/>
      <c r="CN29" s="314"/>
      <c r="CO29" s="312"/>
      <c r="CP29" s="312"/>
      <c r="CQ29" s="312"/>
      <c r="CR29" s="315"/>
      <c r="CS29" s="314"/>
      <c r="CT29" s="312"/>
      <c r="CU29" s="312"/>
      <c r="CV29" s="312"/>
      <c r="CW29" s="315"/>
      <c r="CX29" s="314"/>
      <c r="CY29" s="312"/>
      <c r="CZ29" s="312"/>
      <c r="DA29" s="312"/>
      <c r="DB29" s="313"/>
      <c r="DC29" s="314"/>
      <c r="DD29" s="312"/>
      <c r="DE29" s="312"/>
      <c r="DF29" s="312"/>
      <c r="DG29" s="313"/>
      <c r="DH29" s="314"/>
      <c r="DI29" s="312"/>
      <c r="DJ29" s="312"/>
      <c r="DK29" s="312"/>
      <c r="DL29" s="313"/>
      <c r="DM29" s="305">
        <f>COUNTIF($G$29:$DL$29,"/")</f>
        <v>0</v>
      </c>
      <c r="DN29" s="305">
        <f>COUNTIF($G$29:$DL$29,"ป")</f>
        <v>0</v>
      </c>
      <c r="DO29" s="305">
        <f>COUNTIF($G$29:$DL$29,"ล")</f>
        <v>0</v>
      </c>
      <c r="DP29" s="305">
        <f>COUNTIF($G$29:$DL$29,"ข")</f>
        <v>0</v>
      </c>
      <c r="DQ29" s="304">
        <f t="shared" si="1"/>
        <v>0</v>
      </c>
      <c r="DR29" s="355">
        <f t="shared" si="0"/>
        <v>1</v>
      </c>
      <c r="DV29" s="175">
        <v>29</v>
      </c>
      <c r="DW29" s="175">
        <v>29</v>
      </c>
    </row>
    <row r="30" spans="1:127" ht="18" customHeight="1" x14ac:dyDescent="0.3">
      <c r="A30" s="309">
        <f>ปพ.5!$A$30</f>
        <v>25</v>
      </c>
      <c r="B30" s="322" t="str">
        <f>ปพ.5!$B$30</f>
        <v>6863</v>
      </c>
      <c r="C30" s="352" t="str">
        <f>ปพ.5!$C$30</f>
        <v>1103200229737</v>
      </c>
      <c r="D30" s="582" t="str">
        <f>ปพ.5!$D$30</f>
        <v>เด็กหญิง ศิริภัสสร  สิทธิประกรณ์</v>
      </c>
      <c r="E30" s="583"/>
      <c r="F30" s="584"/>
      <c r="G30" s="311"/>
      <c r="H30" s="312"/>
      <c r="I30" s="312"/>
      <c r="J30" s="312"/>
      <c r="K30" s="313"/>
      <c r="L30" s="314"/>
      <c r="M30" s="312"/>
      <c r="N30" s="312"/>
      <c r="O30" s="312"/>
      <c r="P30" s="315"/>
      <c r="Q30" s="314"/>
      <c r="R30" s="312"/>
      <c r="S30" s="312"/>
      <c r="T30" s="312"/>
      <c r="U30" s="315"/>
      <c r="V30" s="314"/>
      <c r="W30" s="312"/>
      <c r="X30" s="312"/>
      <c r="Y30" s="312"/>
      <c r="Z30" s="315"/>
      <c r="AA30" s="314"/>
      <c r="AB30" s="312"/>
      <c r="AC30" s="312"/>
      <c r="AD30" s="312"/>
      <c r="AE30" s="315"/>
      <c r="AF30" s="314"/>
      <c r="AG30" s="312"/>
      <c r="AH30" s="312"/>
      <c r="AI30" s="312"/>
      <c r="AJ30" s="315"/>
      <c r="AK30" s="314"/>
      <c r="AL30" s="312"/>
      <c r="AM30" s="312"/>
      <c r="AN30" s="312"/>
      <c r="AO30" s="315"/>
      <c r="AP30" s="314"/>
      <c r="AQ30" s="312"/>
      <c r="AR30" s="312"/>
      <c r="AS30" s="312"/>
      <c r="AT30" s="315"/>
      <c r="AU30" s="314"/>
      <c r="AV30" s="312"/>
      <c r="AW30" s="312"/>
      <c r="AX30" s="312"/>
      <c r="AY30" s="315"/>
      <c r="AZ30" s="314"/>
      <c r="BA30" s="312"/>
      <c r="BB30" s="312"/>
      <c r="BC30" s="312"/>
      <c r="BD30" s="315"/>
      <c r="BE30" s="314"/>
      <c r="BF30" s="312"/>
      <c r="BG30" s="312"/>
      <c r="BH30" s="312"/>
      <c r="BI30" s="315"/>
      <c r="BJ30" s="314"/>
      <c r="BK30" s="312"/>
      <c r="BL30" s="312"/>
      <c r="BM30" s="312"/>
      <c r="BN30" s="315"/>
      <c r="BO30" s="314"/>
      <c r="BP30" s="312"/>
      <c r="BQ30" s="312"/>
      <c r="BR30" s="312"/>
      <c r="BS30" s="315"/>
      <c r="BT30" s="314"/>
      <c r="BU30" s="312"/>
      <c r="BV30" s="312"/>
      <c r="BW30" s="312"/>
      <c r="BX30" s="315"/>
      <c r="BY30" s="314"/>
      <c r="BZ30" s="312"/>
      <c r="CA30" s="312"/>
      <c r="CB30" s="312"/>
      <c r="CC30" s="315"/>
      <c r="CD30" s="314"/>
      <c r="CE30" s="312"/>
      <c r="CF30" s="312"/>
      <c r="CG30" s="312"/>
      <c r="CH30" s="315"/>
      <c r="CI30" s="314"/>
      <c r="CJ30" s="312"/>
      <c r="CK30" s="312"/>
      <c r="CL30" s="312"/>
      <c r="CM30" s="315"/>
      <c r="CN30" s="314"/>
      <c r="CO30" s="312"/>
      <c r="CP30" s="312"/>
      <c r="CQ30" s="312"/>
      <c r="CR30" s="315"/>
      <c r="CS30" s="314"/>
      <c r="CT30" s="312"/>
      <c r="CU30" s="312"/>
      <c r="CV30" s="312"/>
      <c r="CW30" s="315"/>
      <c r="CX30" s="314"/>
      <c r="CY30" s="312"/>
      <c r="CZ30" s="312"/>
      <c r="DA30" s="312"/>
      <c r="DB30" s="313"/>
      <c r="DC30" s="314"/>
      <c r="DD30" s="312"/>
      <c r="DE30" s="312"/>
      <c r="DF30" s="312"/>
      <c r="DG30" s="313"/>
      <c r="DH30" s="314"/>
      <c r="DI30" s="312"/>
      <c r="DJ30" s="312"/>
      <c r="DK30" s="312"/>
      <c r="DL30" s="313"/>
      <c r="DM30" s="305">
        <f>COUNTIF($G$30:$DL$30,"/")</f>
        <v>0</v>
      </c>
      <c r="DN30" s="305">
        <f>COUNTIF($G$30:$DL$30,"ป")</f>
        <v>0</v>
      </c>
      <c r="DO30" s="305">
        <f>COUNTIF($G$30:$DL$30,"ล")</f>
        <v>0</v>
      </c>
      <c r="DP30" s="305">
        <f>COUNTIF($G$30:$DL$30,"ข")</f>
        <v>0</v>
      </c>
      <c r="DQ30" s="304">
        <f t="shared" si="1"/>
        <v>0</v>
      </c>
      <c r="DR30" s="355">
        <f t="shared" si="0"/>
        <v>1</v>
      </c>
      <c r="DV30" s="175">
        <v>30</v>
      </c>
      <c r="DW30" s="175">
        <v>30</v>
      </c>
    </row>
    <row r="31" spans="1:127" ht="18" customHeight="1" x14ac:dyDescent="0.3">
      <c r="A31" s="309">
        <f>ปพ.5!$A$31</f>
        <v>26</v>
      </c>
      <c r="B31" s="322" t="str">
        <f>ปพ.5!$B$31</f>
        <v>6867</v>
      </c>
      <c r="C31" s="352" t="str">
        <f>ปพ.5!$C$31</f>
        <v>1319500084452</v>
      </c>
      <c r="D31" s="582" t="str">
        <f>ปพ.5!$D$31</f>
        <v>เด็กชาย จักรพล  ไพรพล</v>
      </c>
      <c r="E31" s="583"/>
      <c r="F31" s="584"/>
      <c r="G31" s="311"/>
      <c r="H31" s="312"/>
      <c r="I31" s="312"/>
      <c r="J31" s="312"/>
      <c r="K31" s="313"/>
      <c r="L31" s="314"/>
      <c r="M31" s="312"/>
      <c r="N31" s="312"/>
      <c r="O31" s="312"/>
      <c r="P31" s="315"/>
      <c r="Q31" s="314"/>
      <c r="R31" s="312"/>
      <c r="S31" s="312"/>
      <c r="T31" s="312"/>
      <c r="U31" s="315"/>
      <c r="V31" s="314"/>
      <c r="W31" s="312"/>
      <c r="X31" s="312"/>
      <c r="Y31" s="312"/>
      <c r="Z31" s="315"/>
      <c r="AA31" s="314"/>
      <c r="AB31" s="312"/>
      <c r="AC31" s="312"/>
      <c r="AD31" s="312"/>
      <c r="AE31" s="315"/>
      <c r="AF31" s="314"/>
      <c r="AG31" s="312"/>
      <c r="AH31" s="312"/>
      <c r="AI31" s="312"/>
      <c r="AJ31" s="315"/>
      <c r="AK31" s="314"/>
      <c r="AL31" s="312"/>
      <c r="AM31" s="312"/>
      <c r="AN31" s="312"/>
      <c r="AO31" s="315"/>
      <c r="AP31" s="314"/>
      <c r="AQ31" s="312"/>
      <c r="AR31" s="312"/>
      <c r="AS31" s="312"/>
      <c r="AT31" s="315"/>
      <c r="AU31" s="314"/>
      <c r="AV31" s="312"/>
      <c r="AW31" s="312"/>
      <c r="AX31" s="312"/>
      <c r="AY31" s="315"/>
      <c r="AZ31" s="314"/>
      <c r="BA31" s="312"/>
      <c r="BB31" s="312"/>
      <c r="BC31" s="312"/>
      <c r="BD31" s="315"/>
      <c r="BE31" s="314"/>
      <c r="BF31" s="312"/>
      <c r="BG31" s="312"/>
      <c r="BH31" s="312"/>
      <c r="BI31" s="315"/>
      <c r="BJ31" s="314"/>
      <c r="BK31" s="312"/>
      <c r="BL31" s="312"/>
      <c r="BM31" s="312"/>
      <c r="BN31" s="315"/>
      <c r="BO31" s="314"/>
      <c r="BP31" s="312"/>
      <c r="BQ31" s="312"/>
      <c r="BR31" s="312"/>
      <c r="BS31" s="315"/>
      <c r="BT31" s="314"/>
      <c r="BU31" s="312"/>
      <c r="BV31" s="312"/>
      <c r="BW31" s="312"/>
      <c r="BX31" s="315"/>
      <c r="BY31" s="314"/>
      <c r="BZ31" s="312"/>
      <c r="CA31" s="312"/>
      <c r="CB31" s="312"/>
      <c r="CC31" s="315"/>
      <c r="CD31" s="314"/>
      <c r="CE31" s="312"/>
      <c r="CF31" s="312"/>
      <c r="CG31" s="312"/>
      <c r="CH31" s="315"/>
      <c r="CI31" s="314"/>
      <c r="CJ31" s="312"/>
      <c r="CK31" s="312"/>
      <c r="CL31" s="312"/>
      <c r="CM31" s="315"/>
      <c r="CN31" s="314"/>
      <c r="CO31" s="312"/>
      <c r="CP31" s="312"/>
      <c r="CQ31" s="312"/>
      <c r="CR31" s="315"/>
      <c r="CS31" s="314"/>
      <c r="CT31" s="312"/>
      <c r="CU31" s="312"/>
      <c r="CV31" s="312"/>
      <c r="CW31" s="315"/>
      <c r="CX31" s="314"/>
      <c r="CY31" s="312"/>
      <c r="CZ31" s="312"/>
      <c r="DA31" s="312"/>
      <c r="DB31" s="313"/>
      <c r="DC31" s="314"/>
      <c r="DD31" s="312"/>
      <c r="DE31" s="312"/>
      <c r="DF31" s="312"/>
      <c r="DG31" s="313"/>
      <c r="DH31" s="314"/>
      <c r="DI31" s="312"/>
      <c r="DJ31" s="312"/>
      <c r="DK31" s="312"/>
      <c r="DL31" s="313"/>
      <c r="DM31" s="305">
        <f>COUNTIF($G$31:$DL$31,"/")</f>
        <v>0</v>
      </c>
      <c r="DN31" s="305">
        <f>COUNTIF($G$31:$DL$31,"ป")</f>
        <v>0</v>
      </c>
      <c r="DO31" s="305">
        <f>COUNTIF($G$31:$DL$31,"ล")</f>
        <v>0</v>
      </c>
      <c r="DP31" s="305">
        <f>COUNTIF($G$31:$DL$31,"ข")</f>
        <v>0</v>
      </c>
      <c r="DQ31" s="304">
        <f t="shared" si="1"/>
        <v>0</v>
      </c>
      <c r="DR31" s="355">
        <f t="shared" si="0"/>
        <v>1</v>
      </c>
      <c r="DV31" s="175">
        <v>31</v>
      </c>
      <c r="DW31" s="175">
        <v>31</v>
      </c>
    </row>
    <row r="32" spans="1:127" ht="18" customHeight="1" x14ac:dyDescent="0.3">
      <c r="A32" s="309">
        <f>ปพ.5!$A$32</f>
        <v>27</v>
      </c>
      <c r="B32" s="322" t="str">
        <f>ปพ.5!$B$32</f>
        <v>7011</v>
      </c>
      <c r="C32" s="352" t="str">
        <f>ปพ.5!$C$32</f>
        <v>1100704277651</v>
      </c>
      <c r="D32" s="582" t="str">
        <f>ปพ.5!$D$32</f>
        <v>เด็กชาย นภัทร  พยัคกานน</v>
      </c>
      <c r="E32" s="583"/>
      <c r="F32" s="584"/>
      <c r="G32" s="311"/>
      <c r="H32" s="312"/>
      <c r="I32" s="312"/>
      <c r="J32" s="312"/>
      <c r="K32" s="313"/>
      <c r="L32" s="314"/>
      <c r="M32" s="312"/>
      <c r="N32" s="312"/>
      <c r="O32" s="312"/>
      <c r="P32" s="315"/>
      <c r="Q32" s="314"/>
      <c r="R32" s="312"/>
      <c r="S32" s="312"/>
      <c r="T32" s="312"/>
      <c r="U32" s="315"/>
      <c r="V32" s="314"/>
      <c r="W32" s="312"/>
      <c r="X32" s="312"/>
      <c r="Y32" s="312"/>
      <c r="Z32" s="315"/>
      <c r="AA32" s="314"/>
      <c r="AB32" s="312"/>
      <c r="AC32" s="312"/>
      <c r="AD32" s="312"/>
      <c r="AE32" s="315"/>
      <c r="AF32" s="314"/>
      <c r="AG32" s="312"/>
      <c r="AH32" s="312"/>
      <c r="AI32" s="312"/>
      <c r="AJ32" s="315"/>
      <c r="AK32" s="314"/>
      <c r="AL32" s="312"/>
      <c r="AM32" s="312"/>
      <c r="AN32" s="312"/>
      <c r="AO32" s="315"/>
      <c r="AP32" s="314"/>
      <c r="AQ32" s="312"/>
      <c r="AR32" s="312"/>
      <c r="AS32" s="312"/>
      <c r="AT32" s="315"/>
      <c r="AU32" s="314"/>
      <c r="AV32" s="312"/>
      <c r="AW32" s="312"/>
      <c r="AX32" s="312"/>
      <c r="AY32" s="315"/>
      <c r="AZ32" s="314"/>
      <c r="BA32" s="312"/>
      <c r="BB32" s="312"/>
      <c r="BC32" s="312"/>
      <c r="BD32" s="315"/>
      <c r="BE32" s="314"/>
      <c r="BF32" s="312"/>
      <c r="BG32" s="312"/>
      <c r="BH32" s="312"/>
      <c r="BI32" s="315"/>
      <c r="BJ32" s="314"/>
      <c r="BK32" s="312"/>
      <c r="BL32" s="312"/>
      <c r="BM32" s="312"/>
      <c r="BN32" s="315"/>
      <c r="BO32" s="314"/>
      <c r="BP32" s="312"/>
      <c r="BQ32" s="312"/>
      <c r="BR32" s="312"/>
      <c r="BS32" s="315"/>
      <c r="BT32" s="314"/>
      <c r="BU32" s="312"/>
      <c r="BV32" s="312"/>
      <c r="BW32" s="312"/>
      <c r="BX32" s="315"/>
      <c r="BY32" s="314"/>
      <c r="BZ32" s="312"/>
      <c r="CA32" s="312"/>
      <c r="CB32" s="312"/>
      <c r="CC32" s="315"/>
      <c r="CD32" s="314"/>
      <c r="CE32" s="312"/>
      <c r="CF32" s="312"/>
      <c r="CG32" s="312"/>
      <c r="CH32" s="315"/>
      <c r="CI32" s="314"/>
      <c r="CJ32" s="312"/>
      <c r="CK32" s="312"/>
      <c r="CL32" s="312"/>
      <c r="CM32" s="315"/>
      <c r="CN32" s="314"/>
      <c r="CO32" s="312"/>
      <c r="CP32" s="312"/>
      <c r="CQ32" s="312"/>
      <c r="CR32" s="315"/>
      <c r="CS32" s="314"/>
      <c r="CT32" s="312"/>
      <c r="CU32" s="312"/>
      <c r="CV32" s="312"/>
      <c r="CW32" s="315"/>
      <c r="CX32" s="314"/>
      <c r="CY32" s="312"/>
      <c r="CZ32" s="312"/>
      <c r="DA32" s="312"/>
      <c r="DB32" s="313"/>
      <c r="DC32" s="314"/>
      <c r="DD32" s="312"/>
      <c r="DE32" s="312"/>
      <c r="DF32" s="312"/>
      <c r="DG32" s="313"/>
      <c r="DH32" s="314"/>
      <c r="DI32" s="312"/>
      <c r="DJ32" s="312"/>
      <c r="DK32" s="312"/>
      <c r="DL32" s="313"/>
      <c r="DM32" s="305">
        <f>COUNTIF($G$32:$DL$32,"/")</f>
        <v>0</v>
      </c>
      <c r="DN32" s="305">
        <f>COUNTIF($G$32:$DL$32,"ป")</f>
        <v>0</v>
      </c>
      <c r="DO32" s="305">
        <f>COUNTIF($G$32:$DL$32,"ล")</f>
        <v>0</v>
      </c>
      <c r="DP32" s="305">
        <f>COUNTIF($G$32:$DL$32,"ข")</f>
        <v>0</v>
      </c>
      <c r="DQ32" s="304">
        <f t="shared" si="1"/>
        <v>0</v>
      </c>
      <c r="DR32" s="355">
        <f t="shared" si="0"/>
        <v>1</v>
      </c>
      <c r="DW32" s="175">
        <v>32</v>
      </c>
    </row>
    <row r="33" spans="1:127" ht="18" customHeight="1" x14ac:dyDescent="0.3">
      <c r="A33" s="309">
        <f>ปพ.5!$A$33</f>
        <v>28</v>
      </c>
      <c r="B33" s="322" t="str">
        <f>ปพ.5!$B$33</f>
        <v>7080</v>
      </c>
      <c r="C33" s="352" t="str">
        <f>ปพ.5!$C$33</f>
        <v>1103200236351</v>
      </c>
      <c r="D33" s="582" t="str">
        <f>ปพ.5!$D$33</f>
        <v>เด็กชาย รัชชานนท์  ทรัพย์สนอง</v>
      </c>
      <c r="E33" s="583"/>
      <c r="F33" s="584"/>
      <c r="G33" s="311"/>
      <c r="H33" s="312"/>
      <c r="I33" s="312"/>
      <c r="J33" s="312"/>
      <c r="K33" s="313"/>
      <c r="L33" s="314"/>
      <c r="M33" s="312"/>
      <c r="N33" s="312"/>
      <c r="O33" s="312"/>
      <c r="P33" s="315"/>
      <c r="Q33" s="314"/>
      <c r="R33" s="312"/>
      <c r="S33" s="312"/>
      <c r="T33" s="312"/>
      <c r="U33" s="315"/>
      <c r="V33" s="314"/>
      <c r="W33" s="312"/>
      <c r="X33" s="312"/>
      <c r="Y33" s="312"/>
      <c r="Z33" s="315"/>
      <c r="AA33" s="314"/>
      <c r="AB33" s="312"/>
      <c r="AC33" s="312"/>
      <c r="AD33" s="312"/>
      <c r="AE33" s="315"/>
      <c r="AF33" s="314"/>
      <c r="AG33" s="312"/>
      <c r="AH33" s="312"/>
      <c r="AI33" s="312"/>
      <c r="AJ33" s="315"/>
      <c r="AK33" s="314"/>
      <c r="AL33" s="312"/>
      <c r="AM33" s="312"/>
      <c r="AN33" s="312"/>
      <c r="AO33" s="315"/>
      <c r="AP33" s="314"/>
      <c r="AQ33" s="312"/>
      <c r="AR33" s="312"/>
      <c r="AS33" s="312"/>
      <c r="AT33" s="315"/>
      <c r="AU33" s="314"/>
      <c r="AV33" s="312"/>
      <c r="AW33" s="312"/>
      <c r="AX33" s="312"/>
      <c r="AY33" s="315"/>
      <c r="AZ33" s="314"/>
      <c r="BA33" s="312"/>
      <c r="BB33" s="312"/>
      <c r="BC33" s="312"/>
      <c r="BD33" s="315"/>
      <c r="BE33" s="314"/>
      <c r="BF33" s="312"/>
      <c r="BG33" s="312"/>
      <c r="BH33" s="312"/>
      <c r="BI33" s="315"/>
      <c r="BJ33" s="314"/>
      <c r="BK33" s="312"/>
      <c r="BL33" s="312"/>
      <c r="BM33" s="312"/>
      <c r="BN33" s="315"/>
      <c r="BO33" s="314"/>
      <c r="BP33" s="312"/>
      <c r="BQ33" s="312"/>
      <c r="BR33" s="312"/>
      <c r="BS33" s="315"/>
      <c r="BT33" s="314"/>
      <c r="BU33" s="312"/>
      <c r="BV33" s="312"/>
      <c r="BW33" s="312"/>
      <c r="BX33" s="315"/>
      <c r="BY33" s="314"/>
      <c r="BZ33" s="312"/>
      <c r="CA33" s="312"/>
      <c r="CB33" s="312"/>
      <c r="CC33" s="315"/>
      <c r="CD33" s="314"/>
      <c r="CE33" s="312"/>
      <c r="CF33" s="312"/>
      <c r="CG33" s="312"/>
      <c r="CH33" s="315"/>
      <c r="CI33" s="314"/>
      <c r="CJ33" s="312"/>
      <c r="CK33" s="312"/>
      <c r="CL33" s="312"/>
      <c r="CM33" s="315"/>
      <c r="CN33" s="314"/>
      <c r="CO33" s="312"/>
      <c r="CP33" s="312"/>
      <c r="CQ33" s="312"/>
      <c r="CR33" s="315"/>
      <c r="CS33" s="314"/>
      <c r="CT33" s="312"/>
      <c r="CU33" s="312"/>
      <c r="CV33" s="312"/>
      <c r="CW33" s="315"/>
      <c r="CX33" s="314"/>
      <c r="CY33" s="312"/>
      <c r="CZ33" s="312"/>
      <c r="DA33" s="312"/>
      <c r="DB33" s="313"/>
      <c r="DC33" s="314"/>
      <c r="DD33" s="312"/>
      <c r="DE33" s="312"/>
      <c r="DF33" s="312"/>
      <c r="DG33" s="313"/>
      <c r="DH33" s="314"/>
      <c r="DI33" s="312"/>
      <c r="DJ33" s="312"/>
      <c r="DK33" s="312"/>
      <c r="DL33" s="313"/>
      <c r="DM33" s="305">
        <f>COUNTIF($G$33:$DL$33,"/")</f>
        <v>0</v>
      </c>
      <c r="DN33" s="305">
        <f>COUNTIF($G$33:$DL$33,"ป")</f>
        <v>0</v>
      </c>
      <c r="DO33" s="305">
        <f>COUNTIF($G$33:$DL$33,"ล")</f>
        <v>0</v>
      </c>
      <c r="DP33" s="305">
        <f>COUNTIF($G$33:$DL$33,"ข")</f>
        <v>0</v>
      </c>
      <c r="DQ33" s="304">
        <f t="shared" si="1"/>
        <v>0</v>
      </c>
      <c r="DR33" s="355">
        <f t="shared" si="0"/>
        <v>1</v>
      </c>
      <c r="DW33" s="175">
        <v>33</v>
      </c>
    </row>
    <row r="34" spans="1:127" ht="18" customHeight="1" x14ac:dyDescent="0.3">
      <c r="A34" s="309">
        <f>ปพ.5!$A$34</f>
        <v>29</v>
      </c>
      <c r="B34" s="322" t="str">
        <f>ปพ.5!$B$34</f>
        <v>7083</v>
      </c>
      <c r="C34" s="352" t="str">
        <f>ปพ.5!$C$34</f>
        <v>1559900599172</v>
      </c>
      <c r="D34" s="582" t="str">
        <f>ปพ.5!$D$34</f>
        <v>เด็กหญิง หทัยกาญจม์  อิ่นแก้ว</v>
      </c>
      <c r="E34" s="583"/>
      <c r="F34" s="584"/>
      <c r="G34" s="311"/>
      <c r="H34" s="312"/>
      <c r="I34" s="312"/>
      <c r="J34" s="312"/>
      <c r="K34" s="313"/>
      <c r="L34" s="314"/>
      <c r="M34" s="312"/>
      <c r="N34" s="312"/>
      <c r="O34" s="312"/>
      <c r="P34" s="315"/>
      <c r="Q34" s="314"/>
      <c r="R34" s="312"/>
      <c r="S34" s="312"/>
      <c r="T34" s="312"/>
      <c r="U34" s="315"/>
      <c r="V34" s="314"/>
      <c r="W34" s="312"/>
      <c r="X34" s="312"/>
      <c r="Y34" s="312"/>
      <c r="Z34" s="315"/>
      <c r="AA34" s="314"/>
      <c r="AB34" s="312"/>
      <c r="AC34" s="312"/>
      <c r="AD34" s="312"/>
      <c r="AE34" s="315"/>
      <c r="AF34" s="314"/>
      <c r="AG34" s="312"/>
      <c r="AH34" s="312"/>
      <c r="AI34" s="312"/>
      <c r="AJ34" s="315"/>
      <c r="AK34" s="314"/>
      <c r="AL34" s="312"/>
      <c r="AM34" s="312"/>
      <c r="AN34" s="312"/>
      <c r="AO34" s="315"/>
      <c r="AP34" s="314"/>
      <c r="AQ34" s="312"/>
      <c r="AR34" s="312"/>
      <c r="AS34" s="312"/>
      <c r="AT34" s="315"/>
      <c r="AU34" s="314"/>
      <c r="AV34" s="312"/>
      <c r="AW34" s="312"/>
      <c r="AX34" s="312"/>
      <c r="AY34" s="315"/>
      <c r="AZ34" s="314"/>
      <c r="BA34" s="312"/>
      <c r="BB34" s="312"/>
      <c r="BC34" s="312"/>
      <c r="BD34" s="315"/>
      <c r="BE34" s="314"/>
      <c r="BF34" s="312"/>
      <c r="BG34" s="312"/>
      <c r="BH34" s="312"/>
      <c r="BI34" s="315"/>
      <c r="BJ34" s="314"/>
      <c r="BK34" s="312"/>
      <c r="BL34" s="312"/>
      <c r="BM34" s="312"/>
      <c r="BN34" s="315"/>
      <c r="BO34" s="314"/>
      <c r="BP34" s="312"/>
      <c r="BQ34" s="312"/>
      <c r="BR34" s="312"/>
      <c r="BS34" s="315"/>
      <c r="BT34" s="314"/>
      <c r="BU34" s="312"/>
      <c r="BV34" s="312"/>
      <c r="BW34" s="312"/>
      <c r="BX34" s="315"/>
      <c r="BY34" s="314"/>
      <c r="BZ34" s="312"/>
      <c r="CA34" s="312"/>
      <c r="CB34" s="312"/>
      <c r="CC34" s="315"/>
      <c r="CD34" s="314"/>
      <c r="CE34" s="312"/>
      <c r="CF34" s="312"/>
      <c r="CG34" s="312"/>
      <c r="CH34" s="315"/>
      <c r="CI34" s="314"/>
      <c r="CJ34" s="312"/>
      <c r="CK34" s="312"/>
      <c r="CL34" s="312"/>
      <c r="CM34" s="315"/>
      <c r="CN34" s="314"/>
      <c r="CO34" s="312"/>
      <c r="CP34" s="312"/>
      <c r="CQ34" s="312"/>
      <c r="CR34" s="315"/>
      <c r="CS34" s="314"/>
      <c r="CT34" s="312"/>
      <c r="CU34" s="312"/>
      <c r="CV34" s="312"/>
      <c r="CW34" s="315"/>
      <c r="CX34" s="314"/>
      <c r="CY34" s="312"/>
      <c r="CZ34" s="312"/>
      <c r="DA34" s="312"/>
      <c r="DB34" s="313"/>
      <c r="DC34" s="314"/>
      <c r="DD34" s="312"/>
      <c r="DE34" s="312"/>
      <c r="DF34" s="312"/>
      <c r="DG34" s="313"/>
      <c r="DH34" s="314"/>
      <c r="DI34" s="312"/>
      <c r="DJ34" s="312"/>
      <c r="DK34" s="312"/>
      <c r="DL34" s="313"/>
      <c r="DM34" s="305">
        <f>COUNTIF($G$34:$DL$34,"/")</f>
        <v>0</v>
      </c>
      <c r="DN34" s="305">
        <f>COUNTIF($G$34:$DL$34,"ป")</f>
        <v>0</v>
      </c>
      <c r="DO34" s="305">
        <f>COUNTIF($G$34:$DL$34,"ล")</f>
        <v>0</v>
      </c>
      <c r="DP34" s="305">
        <f>COUNTIF($G$34:$DL$34,"ข")</f>
        <v>0</v>
      </c>
      <c r="DQ34" s="304">
        <f t="shared" si="1"/>
        <v>0</v>
      </c>
      <c r="DR34" s="355">
        <f t="shared" si="0"/>
        <v>1</v>
      </c>
      <c r="DW34" s="175">
        <v>34</v>
      </c>
    </row>
    <row r="35" spans="1:127" ht="18" customHeight="1" x14ac:dyDescent="0.3">
      <c r="A35" s="309">
        <f>ปพ.5!$A$35</f>
        <v>30</v>
      </c>
      <c r="B35" s="322" t="str">
        <f>ปพ.5!$B$35</f>
        <v>7226</v>
      </c>
      <c r="C35" s="352" t="str">
        <f>ปพ.5!$C$35</f>
        <v>1379900471933</v>
      </c>
      <c r="D35" s="582" t="str">
        <f>ปพ.5!$D$35</f>
        <v>เด็กชาย วีระยุทธ์  เนื้อทอง</v>
      </c>
      <c r="E35" s="583"/>
      <c r="F35" s="584"/>
      <c r="G35" s="311"/>
      <c r="H35" s="312"/>
      <c r="I35" s="312"/>
      <c r="J35" s="312"/>
      <c r="K35" s="313"/>
      <c r="L35" s="314"/>
      <c r="M35" s="312"/>
      <c r="N35" s="312"/>
      <c r="O35" s="312"/>
      <c r="P35" s="315"/>
      <c r="Q35" s="314"/>
      <c r="R35" s="312"/>
      <c r="S35" s="312"/>
      <c r="T35" s="312"/>
      <c r="U35" s="315"/>
      <c r="V35" s="314"/>
      <c r="W35" s="312"/>
      <c r="X35" s="312"/>
      <c r="Y35" s="312"/>
      <c r="Z35" s="315"/>
      <c r="AA35" s="314"/>
      <c r="AB35" s="312"/>
      <c r="AC35" s="312"/>
      <c r="AD35" s="312"/>
      <c r="AE35" s="315"/>
      <c r="AF35" s="314"/>
      <c r="AG35" s="312"/>
      <c r="AH35" s="312"/>
      <c r="AI35" s="312"/>
      <c r="AJ35" s="315"/>
      <c r="AK35" s="314"/>
      <c r="AL35" s="312"/>
      <c r="AM35" s="312"/>
      <c r="AN35" s="312"/>
      <c r="AO35" s="315"/>
      <c r="AP35" s="314"/>
      <c r="AQ35" s="312"/>
      <c r="AR35" s="312"/>
      <c r="AS35" s="312"/>
      <c r="AT35" s="315"/>
      <c r="AU35" s="314"/>
      <c r="AV35" s="312"/>
      <c r="AW35" s="312"/>
      <c r="AX35" s="312"/>
      <c r="AY35" s="315"/>
      <c r="AZ35" s="314"/>
      <c r="BA35" s="312"/>
      <c r="BB35" s="312"/>
      <c r="BC35" s="312"/>
      <c r="BD35" s="315"/>
      <c r="BE35" s="314"/>
      <c r="BF35" s="312"/>
      <c r="BG35" s="312"/>
      <c r="BH35" s="312"/>
      <c r="BI35" s="315"/>
      <c r="BJ35" s="314"/>
      <c r="BK35" s="312"/>
      <c r="BL35" s="312"/>
      <c r="BM35" s="312"/>
      <c r="BN35" s="315"/>
      <c r="BO35" s="314"/>
      <c r="BP35" s="312"/>
      <c r="BQ35" s="312"/>
      <c r="BR35" s="312"/>
      <c r="BS35" s="315"/>
      <c r="BT35" s="314"/>
      <c r="BU35" s="312"/>
      <c r="BV35" s="312"/>
      <c r="BW35" s="312"/>
      <c r="BX35" s="315"/>
      <c r="BY35" s="314"/>
      <c r="BZ35" s="312"/>
      <c r="CA35" s="312"/>
      <c r="CB35" s="312"/>
      <c r="CC35" s="315"/>
      <c r="CD35" s="314"/>
      <c r="CE35" s="312"/>
      <c r="CF35" s="312"/>
      <c r="CG35" s="312"/>
      <c r="CH35" s="315"/>
      <c r="CI35" s="314"/>
      <c r="CJ35" s="312"/>
      <c r="CK35" s="312"/>
      <c r="CL35" s="312"/>
      <c r="CM35" s="315"/>
      <c r="CN35" s="314"/>
      <c r="CO35" s="312"/>
      <c r="CP35" s="312"/>
      <c r="CQ35" s="312"/>
      <c r="CR35" s="315"/>
      <c r="CS35" s="314"/>
      <c r="CT35" s="312"/>
      <c r="CU35" s="312"/>
      <c r="CV35" s="312"/>
      <c r="CW35" s="315"/>
      <c r="CX35" s="314"/>
      <c r="CY35" s="312"/>
      <c r="CZ35" s="312"/>
      <c r="DA35" s="312"/>
      <c r="DB35" s="313"/>
      <c r="DC35" s="314"/>
      <c r="DD35" s="312"/>
      <c r="DE35" s="312"/>
      <c r="DF35" s="312"/>
      <c r="DG35" s="313"/>
      <c r="DH35" s="314"/>
      <c r="DI35" s="312"/>
      <c r="DJ35" s="312"/>
      <c r="DK35" s="312"/>
      <c r="DL35" s="313"/>
      <c r="DM35" s="305">
        <f>COUNTIF($G$35:$DL$35,"/")</f>
        <v>0</v>
      </c>
      <c r="DN35" s="305">
        <f>COUNTIF($G$35:$DL$35,"ป")</f>
        <v>0</v>
      </c>
      <c r="DO35" s="305">
        <f>COUNTIF($G$35:$DL$35,"ล")</f>
        <v>0</v>
      </c>
      <c r="DP35" s="305">
        <f>COUNTIF($G$35:$DL$35,"ข")</f>
        <v>0</v>
      </c>
      <c r="DQ35" s="304">
        <f t="shared" si="1"/>
        <v>0</v>
      </c>
      <c r="DR35" s="355">
        <f t="shared" si="0"/>
        <v>1</v>
      </c>
      <c r="DW35" s="175">
        <v>35</v>
      </c>
    </row>
    <row r="36" spans="1:127" ht="18" customHeight="1" x14ac:dyDescent="0.3">
      <c r="A36" s="309">
        <f>ปพ.5!$A$36</f>
        <v>31</v>
      </c>
      <c r="B36" s="322" t="str">
        <f>ปพ.5!$B$36</f>
        <v>7643</v>
      </c>
      <c r="C36" s="352" t="str">
        <f>ปพ.5!$C$36</f>
        <v>1103200242016</v>
      </c>
      <c r="D36" s="582" t="str">
        <f>ปพ.5!$D$36</f>
        <v>เด็กหญิง ชัชชญา  แสงจุ้ยวงษ์</v>
      </c>
      <c r="E36" s="583"/>
      <c r="F36" s="584"/>
      <c r="G36" s="311"/>
      <c r="H36" s="312"/>
      <c r="I36" s="312"/>
      <c r="J36" s="312"/>
      <c r="K36" s="313"/>
      <c r="L36" s="314"/>
      <c r="M36" s="312"/>
      <c r="N36" s="312"/>
      <c r="O36" s="312"/>
      <c r="P36" s="315"/>
      <c r="Q36" s="314"/>
      <c r="R36" s="312"/>
      <c r="S36" s="312"/>
      <c r="T36" s="312"/>
      <c r="U36" s="315"/>
      <c r="V36" s="314"/>
      <c r="W36" s="312"/>
      <c r="X36" s="312"/>
      <c r="Y36" s="312"/>
      <c r="Z36" s="315"/>
      <c r="AA36" s="314"/>
      <c r="AB36" s="312"/>
      <c r="AC36" s="312"/>
      <c r="AD36" s="312"/>
      <c r="AE36" s="315"/>
      <c r="AF36" s="314"/>
      <c r="AG36" s="312"/>
      <c r="AH36" s="312"/>
      <c r="AI36" s="312"/>
      <c r="AJ36" s="315"/>
      <c r="AK36" s="314"/>
      <c r="AL36" s="312"/>
      <c r="AM36" s="312"/>
      <c r="AN36" s="312"/>
      <c r="AO36" s="315"/>
      <c r="AP36" s="314"/>
      <c r="AQ36" s="312"/>
      <c r="AR36" s="312"/>
      <c r="AS36" s="312"/>
      <c r="AT36" s="315"/>
      <c r="AU36" s="314"/>
      <c r="AV36" s="312"/>
      <c r="AW36" s="312"/>
      <c r="AX36" s="312"/>
      <c r="AY36" s="315"/>
      <c r="AZ36" s="314"/>
      <c r="BA36" s="312"/>
      <c r="BB36" s="312"/>
      <c r="BC36" s="312"/>
      <c r="BD36" s="315"/>
      <c r="BE36" s="314"/>
      <c r="BF36" s="312"/>
      <c r="BG36" s="312"/>
      <c r="BH36" s="312"/>
      <c r="BI36" s="315"/>
      <c r="BJ36" s="314"/>
      <c r="BK36" s="312"/>
      <c r="BL36" s="312"/>
      <c r="BM36" s="312"/>
      <c r="BN36" s="315"/>
      <c r="BO36" s="314"/>
      <c r="BP36" s="312"/>
      <c r="BQ36" s="312"/>
      <c r="BR36" s="312"/>
      <c r="BS36" s="315"/>
      <c r="BT36" s="314"/>
      <c r="BU36" s="312"/>
      <c r="BV36" s="312"/>
      <c r="BW36" s="312"/>
      <c r="BX36" s="315"/>
      <c r="BY36" s="314"/>
      <c r="BZ36" s="312"/>
      <c r="CA36" s="312"/>
      <c r="CB36" s="312"/>
      <c r="CC36" s="315"/>
      <c r="CD36" s="314"/>
      <c r="CE36" s="312"/>
      <c r="CF36" s="312"/>
      <c r="CG36" s="312"/>
      <c r="CH36" s="315"/>
      <c r="CI36" s="314"/>
      <c r="CJ36" s="312"/>
      <c r="CK36" s="312"/>
      <c r="CL36" s="312"/>
      <c r="CM36" s="315"/>
      <c r="CN36" s="314"/>
      <c r="CO36" s="312"/>
      <c r="CP36" s="312"/>
      <c r="CQ36" s="312"/>
      <c r="CR36" s="315"/>
      <c r="CS36" s="314"/>
      <c r="CT36" s="312"/>
      <c r="CU36" s="312"/>
      <c r="CV36" s="312"/>
      <c r="CW36" s="315"/>
      <c r="CX36" s="314"/>
      <c r="CY36" s="312"/>
      <c r="CZ36" s="312"/>
      <c r="DA36" s="312"/>
      <c r="DB36" s="313"/>
      <c r="DC36" s="314"/>
      <c r="DD36" s="312"/>
      <c r="DE36" s="312"/>
      <c r="DF36" s="312"/>
      <c r="DG36" s="313"/>
      <c r="DH36" s="314"/>
      <c r="DI36" s="312"/>
      <c r="DJ36" s="312"/>
      <c r="DK36" s="312"/>
      <c r="DL36" s="313"/>
      <c r="DM36" s="305">
        <f>COUNTIF($G$36:$DL$36,"/")</f>
        <v>0</v>
      </c>
      <c r="DN36" s="305">
        <f>COUNTIF($G$36:$DL$36,"ป")</f>
        <v>0</v>
      </c>
      <c r="DO36" s="305">
        <f>COUNTIF($G$36:$DL$36,"ล")</f>
        <v>0</v>
      </c>
      <c r="DP36" s="305">
        <f>COUNTIF($G$36:$DL$36,"ข")</f>
        <v>0</v>
      </c>
      <c r="DQ36" s="304">
        <f t="shared" si="1"/>
        <v>0</v>
      </c>
      <c r="DR36" s="355">
        <f t="shared" si="0"/>
        <v>1</v>
      </c>
      <c r="DW36" s="175">
        <v>36</v>
      </c>
    </row>
    <row r="37" spans="1:127" ht="18" customHeight="1" x14ac:dyDescent="0.3">
      <c r="A37" s="309">
        <f>ปพ.5!$A$37</f>
        <v>32</v>
      </c>
      <c r="B37" s="322" t="str">
        <f>ปพ.5!$B$37</f>
        <v>7770</v>
      </c>
      <c r="C37" s="352" t="str">
        <f>ปพ.5!$C$37</f>
        <v>1309903821005</v>
      </c>
      <c r="D37" s="582" t="str">
        <f>ปพ.5!$D$37</f>
        <v>เด็กชาย ยศกร  แก้ววิจิตร</v>
      </c>
      <c r="E37" s="583"/>
      <c r="F37" s="584"/>
      <c r="G37" s="311"/>
      <c r="H37" s="312"/>
      <c r="I37" s="312"/>
      <c r="J37" s="312"/>
      <c r="K37" s="313"/>
      <c r="L37" s="314"/>
      <c r="M37" s="312"/>
      <c r="N37" s="312"/>
      <c r="O37" s="312"/>
      <c r="P37" s="315"/>
      <c r="Q37" s="314"/>
      <c r="R37" s="312"/>
      <c r="S37" s="312"/>
      <c r="T37" s="312"/>
      <c r="U37" s="315"/>
      <c r="V37" s="314"/>
      <c r="W37" s="312"/>
      <c r="X37" s="312"/>
      <c r="Y37" s="312"/>
      <c r="Z37" s="315"/>
      <c r="AA37" s="314"/>
      <c r="AB37" s="312"/>
      <c r="AC37" s="312"/>
      <c r="AD37" s="312"/>
      <c r="AE37" s="315"/>
      <c r="AF37" s="314"/>
      <c r="AG37" s="312"/>
      <c r="AH37" s="312"/>
      <c r="AI37" s="312"/>
      <c r="AJ37" s="315"/>
      <c r="AK37" s="314"/>
      <c r="AL37" s="312"/>
      <c r="AM37" s="312"/>
      <c r="AN37" s="312"/>
      <c r="AO37" s="315"/>
      <c r="AP37" s="314"/>
      <c r="AQ37" s="312"/>
      <c r="AR37" s="312"/>
      <c r="AS37" s="312"/>
      <c r="AT37" s="315"/>
      <c r="AU37" s="314"/>
      <c r="AV37" s="312"/>
      <c r="AW37" s="312"/>
      <c r="AX37" s="312"/>
      <c r="AY37" s="315"/>
      <c r="AZ37" s="314"/>
      <c r="BA37" s="312"/>
      <c r="BB37" s="312"/>
      <c r="BC37" s="312"/>
      <c r="BD37" s="315"/>
      <c r="BE37" s="314"/>
      <c r="BF37" s="312"/>
      <c r="BG37" s="312"/>
      <c r="BH37" s="312"/>
      <c r="BI37" s="315"/>
      <c r="BJ37" s="314"/>
      <c r="BK37" s="312"/>
      <c r="BL37" s="312"/>
      <c r="BM37" s="312"/>
      <c r="BN37" s="315"/>
      <c r="BO37" s="314"/>
      <c r="BP37" s="312"/>
      <c r="BQ37" s="312"/>
      <c r="BR37" s="312"/>
      <c r="BS37" s="315"/>
      <c r="BT37" s="314"/>
      <c r="BU37" s="312"/>
      <c r="BV37" s="312"/>
      <c r="BW37" s="312"/>
      <c r="BX37" s="315"/>
      <c r="BY37" s="314"/>
      <c r="BZ37" s="312"/>
      <c r="CA37" s="312"/>
      <c r="CB37" s="312"/>
      <c r="CC37" s="315"/>
      <c r="CD37" s="314"/>
      <c r="CE37" s="312"/>
      <c r="CF37" s="312"/>
      <c r="CG37" s="312"/>
      <c r="CH37" s="315"/>
      <c r="CI37" s="314"/>
      <c r="CJ37" s="312"/>
      <c r="CK37" s="312"/>
      <c r="CL37" s="312"/>
      <c r="CM37" s="315"/>
      <c r="CN37" s="314"/>
      <c r="CO37" s="312"/>
      <c r="CP37" s="312"/>
      <c r="CQ37" s="312"/>
      <c r="CR37" s="315"/>
      <c r="CS37" s="314"/>
      <c r="CT37" s="312"/>
      <c r="CU37" s="312"/>
      <c r="CV37" s="312"/>
      <c r="CW37" s="315"/>
      <c r="CX37" s="314"/>
      <c r="CY37" s="312"/>
      <c r="CZ37" s="312"/>
      <c r="DA37" s="312"/>
      <c r="DB37" s="313"/>
      <c r="DC37" s="314"/>
      <c r="DD37" s="312"/>
      <c r="DE37" s="312"/>
      <c r="DF37" s="312"/>
      <c r="DG37" s="313"/>
      <c r="DH37" s="314"/>
      <c r="DI37" s="312"/>
      <c r="DJ37" s="312"/>
      <c r="DK37" s="312"/>
      <c r="DL37" s="313"/>
      <c r="DM37" s="305">
        <f>COUNTIF($G$37:$DL$37,"/")</f>
        <v>0</v>
      </c>
      <c r="DN37" s="305">
        <f>COUNTIF($G$37:$DL$37,"ป")</f>
        <v>0</v>
      </c>
      <c r="DO37" s="305">
        <f>COUNTIF($G$37:$DL$37,"ล")</f>
        <v>0</v>
      </c>
      <c r="DP37" s="305">
        <f>COUNTIF($G$37:$DL$37,"ข")</f>
        <v>0</v>
      </c>
      <c r="DQ37" s="304">
        <f t="shared" si="1"/>
        <v>0</v>
      </c>
      <c r="DR37" s="355">
        <f t="shared" si="0"/>
        <v>1</v>
      </c>
      <c r="DW37" s="175">
        <v>37</v>
      </c>
    </row>
    <row r="38" spans="1:127" ht="18" customHeight="1" x14ac:dyDescent="0.3">
      <c r="A38" s="309">
        <f>ปพ.5!$A$38</f>
        <v>33</v>
      </c>
      <c r="B38" s="322">
        <f>ปพ.5!$B$38</f>
        <v>0</v>
      </c>
      <c r="C38" s="352">
        <f>ปพ.5!$C$38</f>
        <v>0</v>
      </c>
      <c r="D38" s="582">
        <f>ปพ.5!$D$38</f>
        <v>0</v>
      </c>
      <c r="E38" s="583"/>
      <c r="F38" s="584"/>
      <c r="G38" s="311"/>
      <c r="H38" s="312"/>
      <c r="I38" s="312"/>
      <c r="J38" s="312"/>
      <c r="K38" s="313"/>
      <c r="L38" s="314"/>
      <c r="M38" s="312"/>
      <c r="N38" s="312"/>
      <c r="O38" s="312"/>
      <c r="P38" s="315"/>
      <c r="Q38" s="314"/>
      <c r="R38" s="312"/>
      <c r="S38" s="312"/>
      <c r="T38" s="312"/>
      <c r="U38" s="315"/>
      <c r="V38" s="314"/>
      <c r="W38" s="312"/>
      <c r="X38" s="312"/>
      <c r="Y38" s="312"/>
      <c r="Z38" s="315"/>
      <c r="AA38" s="314"/>
      <c r="AB38" s="312"/>
      <c r="AC38" s="312"/>
      <c r="AD38" s="312"/>
      <c r="AE38" s="315"/>
      <c r="AF38" s="314"/>
      <c r="AG38" s="312"/>
      <c r="AH38" s="312"/>
      <c r="AI38" s="312"/>
      <c r="AJ38" s="315"/>
      <c r="AK38" s="314"/>
      <c r="AL38" s="312"/>
      <c r="AM38" s="312"/>
      <c r="AN38" s="312"/>
      <c r="AO38" s="315"/>
      <c r="AP38" s="314"/>
      <c r="AQ38" s="312"/>
      <c r="AR38" s="312"/>
      <c r="AS38" s="312"/>
      <c r="AT38" s="315"/>
      <c r="AU38" s="314"/>
      <c r="AV38" s="312"/>
      <c r="AW38" s="312"/>
      <c r="AX38" s="312"/>
      <c r="AY38" s="315"/>
      <c r="AZ38" s="314"/>
      <c r="BA38" s="312"/>
      <c r="BB38" s="312"/>
      <c r="BC38" s="312"/>
      <c r="BD38" s="315"/>
      <c r="BE38" s="314"/>
      <c r="BF38" s="312"/>
      <c r="BG38" s="312"/>
      <c r="BH38" s="312"/>
      <c r="BI38" s="315"/>
      <c r="BJ38" s="314"/>
      <c r="BK38" s="312"/>
      <c r="BL38" s="312"/>
      <c r="BM38" s="312"/>
      <c r="BN38" s="315"/>
      <c r="BO38" s="314"/>
      <c r="BP38" s="312"/>
      <c r="BQ38" s="312"/>
      <c r="BR38" s="312"/>
      <c r="BS38" s="315"/>
      <c r="BT38" s="314"/>
      <c r="BU38" s="312"/>
      <c r="BV38" s="312"/>
      <c r="BW38" s="312"/>
      <c r="BX38" s="315"/>
      <c r="BY38" s="314"/>
      <c r="BZ38" s="312"/>
      <c r="CA38" s="312"/>
      <c r="CB38" s="312"/>
      <c r="CC38" s="315"/>
      <c r="CD38" s="314"/>
      <c r="CE38" s="312"/>
      <c r="CF38" s="312"/>
      <c r="CG38" s="312"/>
      <c r="CH38" s="315"/>
      <c r="CI38" s="314"/>
      <c r="CJ38" s="312"/>
      <c r="CK38" s="312"/>
      <c r="CL38" s="312"/>
      <c r="CM38" s="315"/>
      <c r="CN38" s="314"/>
      <c r="CO38" s="312"/>
      <c r="CP38" s="312"/>
      <c r="CQ38" s="312"/>
      <c r="CR38" s="315"/>
      <c r="CS38" s="314"/>
      <c r="CT38" s="312"/>
      <c r="CU38" s="312"/>
      <c r="CV38" s="312"/>
      <c r="CW38" s="315"/>
      <c r="CX38" s="314"/>
      <c r="CY38" s="312"/>
      <c r="CZ38" s="312"/>
      <c r="DA38" s="312"/>
      <c r="DB38" s="313"/>
      <c r="DC38" s="314"/>
      <c r="DD38" s="312"/>
      <c r="DE38" s="312"/>
      <c r="DF38" s="312"/>
      <c r="DG38" s="313"/>
      <c r="DH38" s="314"/>
      <c r="DI38" s="312"/>
      <c r="DJ38" s="312"/>
      <c r="DK38" s="312"/>
      <c r="DL38" s="313"/>
      <c r="DM38" s="305">
        <f>COUNTIF($G$38:$DL$38,"/")</f>
        <v>0</v>
      </c>
      <c r="DN38" s="305">
        <f>COUNTIF($G$38:$DL$38,"ป")</f>
        <v>0</v>
      </c>
      <c r="DO38" s="305">
        <f>COUNTIF($G$38:$DL$38,"ล")</f>
        <v>0</v>
      </c>
      <c r="DP38" s="305">
        <f>COUNTIF($G$38:$DL$38,"ข")</f>
        <v>0</v>
      </c>
      <c r="DQ38" s="304">
        <f t="shared" si="1"/>
        <v>0</v>
      </c>
      <c r="DR38" s="355">
        <f t="shared" si="0"/>
        <v>1</v>
      </c>
      <c r="DW38" s="175">
        <v>38</v>
      </c>
    </row>
    <row r="39" spans="1:127" ht="18" customHeight="1" x14ac:dyDescent="0.3">
      <c r="A39" s="309">
        <f>ปพ.5!$A$39</f>
        <v>34</v>
      </c>
      <c r="B39" s="322">
        <f>ปพ.5!$B$39</f>
        <v>0</v>
      </c>
      <c r="C39" s="352">
        <f>ปพ.5!$C$39</f>
        <v>0</v>
      </c>
      <c r="D39" s="582">
        <f>ปพ.5!$D$39</f>
        <v>0</v>
      </c>
      <c r="E39" s="583"/>
      <c r="F39" s="584"/>
      <c r="G39" s="311"/>
      <c r="H39" s="312"/>
      <c r="I39" s="312"/>
      <c r="J39" s="312"/>
      <c r="K39" s="313"/>
      <c r="L39" s="314"/>
      <c r="M39" s="312"/>
      <c r="N39" s="312"/>
      <c r="O39" s="312"/>
      <c r="P39" s="315"/>
      <c r="Q39" s="314"/>
      <c r="R39" s="312"/>
      <c r="S39" s="312"/>
      <c r="T39" s="312"/>
      <c r="U39" s="315"/>
      <c r="V39" s="314"/>
      <c r="W39" s="312"/>
      <c r="X39" s="312"/>
      <c r="Y39" s="312"/>
      <c r="Z39" s="315"/>
      <c r="AA39" s="314"/>
      <c r="AB39" s="312"/>
      <c r="AC39" s="312"/>
      <c r="AD39" s="312"/>
      <c r="AE39" s="315"/>
      <c r="AF39" s="314"/>
      <c r="AG39" s="312"/>
      <c r="AH39" s="312"/>
      <c r="AI39" s="312"/>
      <c r="AJ39" s="315"/>
      <c r="AK39" s="314"/>
      <c r="AL39" s="312"/>
      <c r="AM39" s="312"/>
      <c r="AN39" s="312"/>
      <c r="AO39" s="315"/>
      <c r="AP39" s="314"/>
      <c r="AQ39" s="312"/>
      <c r="AR39" s="312"/>
      <c r="AS39" s="312"/>
      <c r="AT39" s="315"/>
      <c r="AU39" s="314"/>
      <c r="AV39" s="312"/>
      <c r="AW39" s="312"/>
      <c r="AX39" s="312"/>
      <c r="AY39" s="315"/>
      <c r="AZ39" s="314"/>
      <c r="BA39" s="312"/>
      <c r="BB39" s="312"/>
      <c r="BC39" s="312"/>
      <c r="BD39" s="315"/>
      <c r="BE39" s="314"/>
      <c r="BF39" s="312"/>
      <c r="BG39" s="312"/>
      <c r="BH39" s="312"/>
      <c r="BI39" s="315"/>
      <c r="BJ39" s="314"/>
      <c r="BK39" s="312"/>
      <c r="BL39" s="312"/>
      <c r="BM39" s="312"/>
      <c r="BN39" s="315"/>
      <c r="BO39" s="314"/>
      <c r="BP39" s="312"/>
      <c r="BQ39" s="312"/>
      <c r="BR39" s="312"/>
      <c r="BS39" s="315"/>
      <c r="BT39" s="314"/>
      <c r="BU39" s="312"/>
      <c r="BV39" s="312"/>
      <c r="BW39" s="312"/>
      <c r="BX39" s="315"/>
      <c r="BY39" s="314"/>
      <c r="BZ39" s="312"/>
      <c r="CA39" s="312"/>
      <c r="CB39" s="312"/>
      <c r="CC39" s="315"/>
      <c r="CD39" s="314"/>
      <c r="CE39" s="312"/>
      <c r="CF39" s="312"/>
      <c r="CG39" s="312"/>
      <c r="CH39" s="315"/>
      <c r="CI39" s="314"/>
      <c r="CJ39" s="312"/>
      <c r="CK39" s="312"/>
      <c r="CL39" s="312"/>
      <c r="CM39" s="315"/>
      <c r="CN39" s="314"/>
      <c r="CO39" s="312"/>
      <c r="CP39" s="312"/>
      <c r="CQ39" s="312"/>
      <c r="CR39" s="315"/>
      <c r="CS39" s="314"/>
      <c r="CT39" s="312"/>
      <c r="CU39" s="312"/>
      <c r="CV39" s="312"/>
      <c r="CW39" s="315"/>
      <c r="CX39" s="314"/>
      <c r="CY39" s="312"/>
      <c r="CZ39" s="312"/>
      <c r="DA39" s="312"/>
      <c r="DB39" s="313"/>
      <c r="DC39" s="314"/>
      <c r="DD39" s="312"/>
      <c r="DE39" s="312"/>
      <c r="DF39" s="312"/>
      <c r="DG39" s="313"/>
      <c r="DH39" s="314"/>
      <c r="DI39" s="312"/>
      <c r="DJ39" s="312"/>
      <c r="DK39" s="312"/>
      <c r="DL39" s="313"/>
      <c r="DM39" s="305">
        <f>COUNTIF($G$39:$DL$39,"/")</f>
        <v>0</v>
      </c>
      <c r="DN39" s="305">
        <f>COUNTIF($G$39:$DL$39,"ป")</f>
        <v>0</v>
      </c>
      <c r="DO39" s="305">
        <f>COUNTIF($G$39:$DL$39,"ล")</f>
        <v>0</v>
      </c>
      <c r="DP39" s="305">
        <f>COUNTIF($G$39:$DL$39,"ข")</f>
        <v>0</v>
      </c>
      <c r="DQ39" s="304">
        <f t="shared" si="1"/>
        <v>0</v>
      </c>
      <c r="DR39" s="355">
        <f t="shared" si="0"/>
        <v>1</v>
      </c>
      <c r="DW39" s="175">
        <v>39</v>
      </c>
    </row>
    <row r="40" spans="1:127" ht="18" customHeight="1" x14ac:dyDescent="0.3">
      <c r="A40" s="309">
        <f>ปพ.5!$A$40</f>
        <v>35</v>
      </c>
      <c r="B40" s="322">
        <f>ปพ.5!$B$40</f>
        <v>0</v>
      </c>
      <c r="C40" s="352">
        <f>ปพ.5!$C$40</f>
        <v>0</v>
      </c>
      <c r="D40" s="582">
        <f>ปพ.5!$D$40</f>
        <v>0</v>
      </c>
      <c r="E40" s="583"/>
      <c r="F40" s="584"/>
      <c r="G40" s="311"/>
      <c r="H40" s="312"/>
      <c r="I40" s="312"/>
      <c r="J40" s="312"/>
      <c r="K40" s="313"/>
      <c r="L40" s="314"/>
      <c r="M40" s="312"/>
      <c r="N40" s="312"/>
      <c r="O40" s="312"/>
      <c r="P40" s="315"/>
      <c r="Q40" s="314"/>
      <c r="R40" s="312"/>
      <c r="S40" s="312"/>
      <c r="T40" s="312"/>
      <c r="U40" s="315"/>
      <c r="V40" s="314"/>
      <c r="W40" s="312"/>
      <c r="X40" s="312"/>
      <c r="Y40" s="312"/>
      <c r="Z40" s="315"/>
      <c r="AA40" s="314"/>
      <c r="AB40" s="312"/>
      <c r="AC40" s="312"/>
      <c r="AD40" s="312"/>
      <c r="AE40" s="315"/>
      <c r="AF40" s="314"/>
      <c r="AG40" s="312"/>
      <c r="AH40" s="312"/>
      <c r="AI40" s="312"/>
      <c r="AJ40" s="315"/>
      <c r="AK40" s="314"/>
      <c r="AL40" s="312"/>
      <c r="AM40" s="312"/>
      <c r="AN40" s="312"/>
      <c r="AO40" s="315"/>
      <c r="AP40" s="314"/>
      <c r="AQ40" s="312"/>
      <c r="AR40" s="312"/>
      <c r="AS40" s="312"/>
      <c r="AT40" s="315"/>
      <c r="AU40" s="314"/>
      <c r="AV40" s="312"/>
      <c r="AW40" s="312"/>
      <c r="AX40" s="312"/>
      <c r="AY40" s="315"/>
      <c r="AZ40" s="314"/>
      <c r="BA40" s="312"/>
      <c r="BB40" s="312"/>
      <c r="BC40" s="312"/>
      <c r="BD40" s="315"/>
      <c r="BE40" s="314"/>
      <c r="BF40" s="312"/>
      <c r="BG40" s="312"/>
      <c r="BH40" s="312"/>
      <c r="BI40" s="315"/>
      <c r="BJ40" s="314"/>
      <c r="BK40" s="312"/>
      <c r="BL40" s="312"/>
      <c r="BM40" s="312"/>
      <c r="BN40" s="315"/>
      <c r="BO40" s="314"/>
      <c r="BP40" s="312"/>
      <c r="BQ40" s="312"/>
      <c r="BR40" s="312"/>
      <c r="BS40" s="315"/>
      <c r="BT40" s="314"/>
      <c r="BU40" s="312"/>
      <c r="BV40" s="312"/>
      <c r="BW40" s="312"/>
      <c r="BX40" s="315"/>
      <c r="BY40" s="314"/>
      <c r="BZ40" s="312"/>
      <c r="CA40" s="312"/>
      <c r="CB40" s="312"/>
      <c r="CC40" s="315"/>
      <c r="CD40" s="314"/>
      <c r="CE40" s="312"/>
      <c r="CF40" s="312"/>
      <c r="CG40" s="312"/>
      <c r="CH40" s="315"/>
      <c r="CI40" s="314"/>
      <c r="CJ40" s="312"/>
      <c r="CK40" s="312"/>
      <c r="CL40" s="312"/>
      <c r="CM40" s="315"/>
      <c r="CN40" s="314"/>
      <c r="CO40" s="312"/>
      <c r="CP40" s="312"/>
      <c r="CQ40" s="312"/>
      <c r="CR40" s="315"/>
      <c r="CS40" s="314"/>
      <c r="CT40" s="312"/>
      <c r="CU40" s="312"/>
      <c r="CV40" s="312"/>
      <c r="CW40" s="315"/>
      <c r="CX40" s="314"/>
      <c r="CY40" s="312"/>
      <c r="CZ40" s="312"/>
      <c r="DA40" s="312"/>
      <c r="DB40" s="313"/>
      <c r="DC40" s="314"/>
      <c r="DD40" s="312"/>
      <c r="DE40" s="312"/>
      <c r="DF40" s="312"/>
      <c r="DG40" s="313"/>
      <c r="DH40" s="314"/>
      <c r="DI40" s="312"/>
      <c r="DJ40" s="312"/>
      <c r="DK40" s="312"/>
      <c r="DL40" s="313"/>
      <c r="DM40" s="305">
        <f>COUNTIF($G$40:$DL$40,"/")</f>
        <v>0</v>
      </c>
      <c r="DN40" s="305">
        <f>COUNTIF($G$40:$DL$40,"ป")</f>
        <v>0</v>
      </c>
      <c r="DO40" s="305">
        <f>COUNTIF($G$40:$DL$40,"ล")</f>
        <v>0</v>
      </c>
      <c r="DP40" s="305">
        <f>COUNTIF($G$40:$DL$40,"ข")</f>
        <v>0</v>
      </c>
      <c r="DQ40" s="304">
        <f t="shared" si="1"/>
        <v>0</v>
      </c>
      <c r="DR40" s="355">
        <f t="shared" si="0"/>
        <v>1</v>
      </c>
      <c r="DW40" s="175">
        <v>40</v>
      </c>
    </row>
    <row r="41" spans="1:127" ht="18" customHeight="1" x14ac:dyDescent="0.3">
      <c r="A41" s="309">
        <f>ปพ.5!$A$41</f>
        <v>36</v>
      </c>
      <c r="B41" s="322">
        <f>ปพ.5!$B$41</f>
        <v>0</v>
      </c>
      <c r="C41" s="352">
        <f>ปพ.5!$C$41</f>
        <v>0</v>
      </c>
      <c r="D41" s="582">
        <f>ปพ.5!$D$41</f>
        <v>0</v>
      </c>
      <c r="E41" s="583"/>
      <c r="F41" s="584"/>
      <c r="G41" s="311"/>
      <c r="H41" s="312"/>
      <c r="I41" s="312"/>
      <c r="J41" s="312"/>
      <c r="K41" s="313"/>
      <c r="L41" s="314"/>
      <c r="M41" s="312"/>
      <c r="N41" s="312"/>
      <c r="O41" s="312"/>
      <c r="P41" s="315"/>
      <c r="Q41" s="314"/>
      <c r="R41" s="312"/>
      <c r="S41" s="312"/>
      <c r="T41" s="312"/>
      <c r="U41" s="315"/>
      <c r="V41" s="314"/>
      <c r="W41" s="312"/>
      <c r="X41" s="312"/>
      <c r="Y41" s="312"/>
      <c r="Z41" s="315"/>
      <c r="AA41" s="314"/>
      <c r="AB41" s="312"/>
      <c r="AC41" s="312"/>
      <c r="AD41" s="312"/>
      <c r="AE41" s="315"/>
      <c r="AF41" s="314"/>
      <c r="AG41" s="312"/>
      <c r="AH41" s="312"/>
      <c r="AI41" s="312"/>
      <c r="AJ41" s="315"/>
      <c r="AK41" s="314"/>
      <c r="AL41" s="312"/>
      <c r="AM41" s="312"/>
      <c r="AN41" s="312"/>
      <c r="AO41" s="315"/>
      <c r="AP41" s="314"/>
      <c r="AQ41" s="312"/>
      <c r="AR41" s="312"/>
      <c r="AS41" s="312"/>
      <c r="AT41" s="315"/>
      <c r="AU41" s="314"/>
      <c r="AV41" s="312"/>
      <c r="AW41" s="312"/>
      <c r="AX41" s="312"/>
      <c r="AY41" s="315"/>
      <c r="AZ41" s="314"/>
      <c r="BA41" s="312"/>
      <c r="BB41" s="312"/>
      <c r="BC41" s="312"/>
      <c r="BD41" s="315"/>
      <c r="BE41" s="314"/>
      <c r="BF41" s="312"/>
      <c r="BG41" s="312"/>
      <c r="BH41" s="312"/>
      <c r="BI41" s="315"/>
      <c r="BJ41" s="314"/>
      <c r="BK41" s="312"/>
      <c r="BL41" s="312"/>
      <c r="BM41" s="312"/>
      <c r="BN41" s="315"/>
      <c r="BO41" s="314"/>
      <c r="BP41" s="312"/>
      <c r="BQ41" s="312"/>
      <c r="BR41" s="312"/>
      <c r="BS41" s="315"/>
      <c r="BT41" s="314"/>
      <c r="BU41" s="312"/>
      <c r="BV41" s="312"/>
      <c r="BW41" s="312"/>
      <c r="BX41" s="315"/>
      <c r="BY41" s="314"/>
      <c r="BZ41" s="312"/>
      <c r="CA41" s="312"/>
      <c r="CB41" s="312"/>
      <c r="CC41" s="315"/>
      <c r="CD41" s="314"/>
      <c r="CE41" s="312"/>
      <c r="CF41" s="312"/>
      <c r="CG41" s="312"/>
      <c r="CH41" s="315"/>
      <c r="CI41" s="314"/>
      <c r="CJ41" s="312"/>
      <c r="CK41" s="312"/>
      <c r="CL41" s="312"/>
      <c r="CM41" s="315"/>
      <c r="CN41" s="314"/>
      <c r="CO41" s="312"/>
      <c r="CP41" s="312"/>
      <c r="CQ41" s="312"/>
      <c r="CR41" s="315"/>
      <c r="CS41" s="314"/>
      <c r="CT41" s="312"/>
      <c r="CU41" s="312"/>
      <c r="CV41" s="312"/>
      <c r="CW41" s="315"/>
      <c r="CX41" s="314"/>
      <c r="CY41" s="312"/>
      <c r="CZ41" s="312"/>
      <c r="DA41" s="312"/>
      <c r="DB41" s="313"/>
      <c r="DC41" s="314"/>
      <c r="DD41" s="312"/>
      <c r="DE41" s="312"/>
      <c r="DF41" s="312"/>
      <c r="DG41" s="313"/>
      <c r="DH41" s="314"/>
      <c r="DI41" s="312"/>
      <c r="DJ41" s="312"/>
      <c r="DK41" s="312"/>
      <c r="DL41" s="313"/>
      <c r="DM41" s="305">
        <f>COUNTIF($G$41:$DL$41,"/")</f>
        <v>0</v>
      </c>
      <c r="DN41" s="305">
        <f>COUNTIF($G$41:$DL$41,"ป")</f>
        <v>0</v>
      </c>
      <c r="DO41" s="305">
        <f>COUNTIF($G$41:$DL$41,"ล")</f>
        <v>0</v>
      </c>
      <c r="DP41" s="305">
        <f>COUNTIF($G$41:$DL$41,"ข")</f>
        <v>0</v>
      </c>
      <c r="DQ41" s="304">
        <f t="shared" si="1"/>
        <v>0</v>
      </c>
      <c r="DR41" s="355">
        <f t="shared" si="0"/>
        <v>1</v>
      </c>
      <c r="DW41" s="175">
        <v>41</v>
      </c>
    </row>
    <row r="42" spans="1:127" ht="18" customHeight="1" x14ac:dyDescent="0.3">
      <c r="A42" s="309">
        <f>ปพ.5!$A$42</f>
        <v>37</v>
      </c>
      <c r="B42" s="322">
        <f>ปพ.5!$B$42</f>
        <v>0</v>
      </c>
      <c r="C42" s="352">
        <f>ปพ.5!$C$42</f>
        <v>0</v>
      </c>
      <c r="D42" s="582">
        <f>ปพ.5!$D$42</f>
        <v>0</v>
      </c>
      <c r="E42" s="583"/>
      <c r="F42" s="584"/>
      <c r="G42" s="311"/>
      <c r="H42" s="312"/>
      <c r="I42" s="312"/>
      <c r="J42" s="312"/>
      <c r="K42" s="313"/>
      <c r="L42" s="314"/>
      <c r="M42" s="312"/>
      <c r="N42" s="312"/>
      <c r="O42" s="312"/>
      <c r="P42" s="315"/>
      <c r="Q42" s="314"/>
      <c r="R42" s="312"/>
      <c r="S42" s="312"/>
      <c r="T42" s="312"/>
      <c r="U42" s="315"/>
      <c r="V42" s="314"/>
      <c r="W42" s="312"/>
      <c r="X42" s="312"/>
      <c r="Y42" s="312"/>
      <c r="Z42" s="315"/>
      <c r="AA42" s="314"/>
      <c r="AB42" s="312"/>
      <c r="AC42" s="312"/>
      <c r="AD42" s="312"/>
      <c r="AE42" s="315"/>
      <c r="AF42" s="314"/>
      <c r="AG42" s="312"/>
      <c r="AH42" s="312"/>
      <c r="AI42" s="312"/>
      <c r="AJ42" s="315"/>
      <c r="AK42" s="314"/>
      <c r="AL42" s="312"/>
      <c r="AM42" s="312"/>
      <c r="AN42" s="312"/>
      <c r="AO42" s="315"/>
      <c r="AP42" s="314"/>
      <c r="AQ42" s="312"/>
      <c r="AR42" s="312"/>
      <c r="AS42" s="312"/>
      <c r="AT42" s="315"/>
      <c r="AU42" s="314"/>
      <c r="AV42" s="312"/>
      <c r="AW42" s="312"/>
      <c r="AX42" s="312"/>
      <c r="AY42" s="315"/>
      <c r="AZ42" s="314"/>
      <c r="BA42" s="312"/>
      <c r="BB42" s="312"/>
      <c r="BC42" s="312"/>
      <c r="BD42" s="315"/>
      <c r="BE42" s="314"/>
      <c r="BF42" s="312"/>
      <c r="BG42" s="312"/>
      <c r="BH42" s="312"/>
      <c r="BI42" s="315"/>
      <c r="BJ42" s="314"/>
      <c r="BK42" s="312"/>
      <c r="BL42" s="312"/>
      <c r="BM42" s="312"/>
      <c r="BN42" s="315"/>
      <c r="BO42" s="314"/>
      <c r="BP42" s="312"/>
      <c r="BQ42" s="312"/>
      <c r="BR42" s="312"/>
      <c r="BS42" s="315"/>
      <c r="BT42" s="314"/>
      <c r="BU42" s="312"/>
      <c r="BV42" s="312"/>
      <c r="BW42" s="312"/>
      <c r="BX42" s="315"/>
      <c r="BY42" s="314"/>
      <c r="BZ42" s="312"/>
      <c r="CA42" s="312"/>
      <c r="CB42" s="312"/>
      <c r="CC42" s="315"/>
      <c r="CD42" s="314"/>
      <c r="CE42" s="312"/>
      <c r="CF42" s="312"/>
      <c r="CG42" s="312"/>
      <c r="CH42" s="315"/>
      <c r="CI42" s="314"/>
      <c r="CJ42" s="312"/>
      <c r="CK42" s="312"/>
      <c r="CL42" s="312"/>
      <c r="CM42" s="315"/>
      <c r="CN42" s="314"/>
      <c r="CO42" s="312"/>
      <c r="CP42" s="312"/>
      <c r="CQ42" s="312"/>
      <c r="CR42" s="315"/>
      <c r="CS42" s="314"/>
      <c r="CT42" s="312"/>
      <c r="CU42" s="312"/>
      <c r="CV42" s="312"/>
      <c r="CW42" s="315"/>
      <c r="CX42" s="314"/>
      <c r="CY42" s="312"/>
      <c r="CZ42" s="312"/>
      <c r="DA42" s="312"/>
      <c r="DB42" s="313"/>
      <c r="DC42" s="314"/>
      <c r="DD42" s="312"/>
      <c r="DE42" s="312"/>
      <c r="DF42" s="312"/>
      <c r="DG42" s="313"/>
      <c r="DH42" s="314"/>
      <c r="DI42" s="312"/>
      <c r="DJ42" s="312"/>
      <c r="DK42" s="312"/>
      <c r="DL42" s="313"/>
      <c r="DM42" s="305">
        <f>COUNTIF($G$42:$DL$42,"/")</f>
        <v>0</v>
      </c>
      <c r="DN42" s="305">
        <f>COUNTIF($G$42:$DL$42,"ป")</f>
        <v>0</v>
      </c>
      <c r="DO42" s="305">
        <f>COUNTIF($G$42:$DL$42,"ล")</f>
        <v>0</v>
      </c>
      <c r="DP42" s="305">
        <f>COUNTIF($G$42:$DL$42,"ข")</f>
        <v>0</v>
      </c>
      <c r="DQ42" s="304">
        <f t="shared" si="1"/>
        <v>0</v>
      </c>
      <c r="DR42" s="355">
        <f t="shared" si="0"/>
        <v>1</v>
      </c>
      <c r="DW42" s="175">
        <v>42</v>
      </c>
    </row>
    <row r="43" spans="1:127" ht="18" customHeight="1" x14ac:dyDescent="0.3">
      <c r="A43" s="309">
        <f>ปพ.5!$A$43</f>
        <v>38</v>
      </c>
      <c r="B43" s="322">
        <f>ปพ.5!$B$43</f>
        <v>0</v>
      </c>
      <c r="C43" s="352">
        <f>ปพ.5!$C$43</f>
        <v>0</v>
      </c>
      <c r="D43" s="582">
        <f>ปพ.5!$D$43</f>
        <v>0</v>
      </c>
      <c r="E43" s="583"/>
      <c r="F43" s="584"/>
      <c r="G43" s="311"/>
      <c r="H43" s="312"/>
      <c r="I43" s="312"/>
      <c r="J43" s="312"/>
      <c r="K43" s="313"/>
      <c r="L43" s="314"/>
      <c r="M43" s="312"/>
      <c r="N43" s="312"/>
      <c r="O43" s="312"/>
      <c r="P43" s="315"/>
      <c r="Q43" s="314"/>
      <c r="R43" s="312"/>
      <c r="S43" s="312"/>
      <c r="T43" s="312"/>
      <c r="U43" s="315"/>
      <c r="V43" s="314"/>
      <c r="W43" s="312"/>
      <c r="X43" s="312"/>
      <c r="Y43" s="312"/>
      <c r="Z43" s="315"/>
      <c r="AA43" s="314"/>
      <c r="AB43" s="312"/>
      <c r="AC43" s="312"/>
      <c r="AD43" s="312"/>
      <c r="AE43" s="315"/>
      <c r="AF43" s="314"/>
      <c r="AG43" s="312"/>
      <c r="AH43" s="312"/>
      <c r="AI43" s="312"/>
      <c r="AJ43" s="315"/>
      <c r="AK43" s="314"/>
      <c r="AL43" s="312"/>
      <c r="AM43" s="312"/>
      <c r="AN43" s="312"/>
      <c r="AO43" s="315"/>
      <c r="AP43" s="314"/>
      <c r="AQ43" s="312"/>
      <c r="AR43" s="312"/>
      <c r="AS43" s="312"/>
      <c r="AT43" s="315"/>
      <c r="AU43" s="314"/>
      <c r="AV43" s="312"/>
      <c r="AW43" s="312"/>
      <c r="AX43" s="312"/>
      <c r="AY43" s="315"/>
      <c r="AZ43" s="314"/>
      <c r="BA43" s="312"/>
      <c r="BB43" s="312"/>
      <c r="BC43" s="312"/>
      <c r="BD43" s="315"/>
      <c r="BE43" s="314"/>
      <c r="BF43" s="312"/>
      <c r="BG43" s="312"/>
      <c r="BH43" s="312"/>
      <c r="BI43" s="315"/>
      <c r="BJ43" s="314"/>
      <c r="BK43" s="312"/>
      <c r="BL43" s="312"/>
      <c r="BM43" s="312"/>
      <c r="BN43" s="315"/>
      <c r="BO43" s="314"/>
      <c r="BP43" s="312"/>
      <c r="BQ43" s="312"/>
      <c r="BR43" s="312"/>
      <c r="BS43" s="315"/>
      <c r="BT43" s="314"/>
      <c r="BU43" s="312"/>
      <c r="BV43" s="312"/>
      <c r="BW43" s="312"/>
      <c r="BX43" s="315"/>
      <c r="BY43" s="314"/>
      <c r="BZ43" s="312"/>
      <c r="CA43" s="312"/>
      <c r="CB43" s="312"/>
      <c r="CC43" s="315"/>
      <c r="CD43" s="314"/>
      <c r="CE43" s="312"/>
      <c r="CF43" s="312"/>
      <c r="CG43" s="312"/>
      <c r="CH43" s="315"/>
      <c r="CI43" s="314"/>
      <c r="CJ43" s="312"/>
      <c r="CK43" s="312"/>
      <c r="CL43" s="312"/>
      <c r="CM43" s="315"/>
      <c r="CN43" s="314"/>
      <c r="CO43" s="312"/>
      <c r="CP43" s="312"/>
      <c r="CQ43" s="312"/>
      <c r="CR43" s="315"/>
      <c r="CS43" s="314"/>
      <c r="CT43" s="312"/>
      <c r="CU43" s="312"/>
      <c r="CV43" s="312"/>
      <c r="CW43" s="315"/>
      <c r="CX43" s="314"/>
      <c r="CY43" s="312"/>
      <c r="CZ43" s="312"/>
      <c r="DA43" s="312"/>
      <c r="DB43" s="313"/>
      <c r="DC43" s="314"/>
      <c r="DD43" s="312"/>
      <c r="DE43" s="312"/>
      <c r="DF43" s="312"/>
      <c r="DG43" s="313"/>
      <c r="DH43" s="314"/>
      <c r="DI43" s="312"/>
      <c r="DJ43" s="312"/>
      <c r="DK43" s="312"/>
      <c r="DL43" s="313"/>
      <c r="DM43" s="305">
        <f>COUNTIF($G$43:$DL$43,"/")</f>
        <v>0</v>
      </c>
      <c r="DN43" s="305">
        <f>COUNTIF($G$43:$DL$43,"ป")</f>
        <v>0</v>
      </c>
      <c r="DO43" s="305">
        <f>COUNTIF($G$43:$DL$43,"ล")</f>
        <v>0</v>
      </c>
      <c r="DP43" s="305">
        <f>COUNTIF($G$43:$DL$43,"ข")</f>
        <v>0</v>
      </c>
      <c r="DQ43" s="304">
        <f t="shared" si="1"/>
        <v>0</v>
      </c>
      <c r="DR43" s="355">
        <f t="shared" si="0"/>
        <v>1</v>
      </c>
      <c r="DW43" s="175">
        <v>43</v>
      </c>
    </row>
    <row r="44" spans="1:127" ht="18" customHeight="1" x14ac:dyDescent="0.3">
      <c r="A44" s="309">
        <f>ปพ.5!$A$44</f>
        <v>39</v>
      </c>
      <c r="B44" s="322">
        <f>ปพ.5!$B$44</f>
        <v>0</v>
      </c>
      <c r="C44" s="352">
        <f>ปพ.5!$C$44</f>
        <v>0</v>
      </c>
      <c r="D44" s="582">
        <f>ปพ.5!$D$44</f>
        <v>0</v>
      </c>
      <c r="E44" s="583"/>
      <c r="F44" s="584"/>
      <c r="G44" s="311"/>
      <c r="H44" s="312"/>
      <c r="I44" s="312"/>
      <c r="J44" s="312"/>
      <c r="K44" s="313"/>
      <c r="L44" s="314"/>
      <c r="M44" s="312"/>
      <c r="N44" s="312"/>
      <c r="O44" s="312"/>
      <c r="P44" s="315"/>
      <c r="Q44" s="314"/>
      <c r="R44" s="312"/>
      <c r="S44" s="312"/>
      <c r="T44" s="312"/>
      <c r="U44" s="315"/>
      <c r="V44" s="314"/>
      <c r="W44" s="312"/>
      <c r="X44" s="312"/>
      <c r="Y44" s="312"/>
      <c r="Z44" s="315"/>
      <c r="AA44" s="314"/>
      <c r="AB44" s="312"/>
      <c r="AC44" s="312"/>
      <c r="AD44" s="312"/>
      <c r="AE44" s="315"/>
      <c r="AF44" s="314"/>
      <c r="AG44" s="312"/>
      <c r="AH44" s="312"/>
      <c r="AI44" s="312"/>
      <c r="AJ44" s="315"/>
      <c r="AK44" s="314"/>
      <c r="AL44" s="312"/>
      <c r="AM44" s="312"/>
      <c r="AN44" s="312"/>
      <c r="AO44" s="315"/>
      <c r="AP44" s="314"/>
      <c r="AQ44" s="312"/>
      <c r="AR44" s="312"/>
      <c r="AS44" s="312"/>
      <c r="AT44" s="315"/>
      <c r="AU44" s="314"/>
      <c r="AV44" s="312"/>
      <c r="AW44" s="312"/>
      <c r="AX44" s="312"/>
      <c r="AY44" s="315"/>
      <c r="AZ44" s="314"/>
      <c r="BA44" s="312"/>
      <c r="BB44" s="312"/>
      <c r="BC44" s="312"/>
      <c r="BD44" s="315"/>
      <c r="BE44" s="314"/>
      <c r="BF44" s="312"/>
      <c r="BG44" s="312"/>
      <c r="BH44" s="312"/>
      <c r="BI44" s="315"/>
      <c r="BJ44" s="314"/>
      <c r="BK44" s="312"/>
      <c r="BL44" s="312"/>
      <c r="BM44" s="312"/>
      <c r="BN44" s="315"/>
      <c r="BO44" s="314"/>
      <c r="BP44" s="312"/>
      <c r="BQ44" s="312"/>
      <c r="BR44" s="312"/>
      <c r="BS44" s="315"/>
      <c r="BT44" s="314"/>
      <c r="BU44" s="312"/>
      <c r="BV44" s="312"/>
      <c r="BW44" s="312"/>
      <c r="BX44" s="315"/>
      <c r="BY44" s="314"/>
      <c r="BZ44" s="312"/>
      <c r="CA44" s="312"/>
      <c r="CB44" s="312"/>
      <c r="CC44" s="315"/>
      <c r="CD44" s="314"/>
      <c r="CE44" s="312"/>
      <c r="CF44" s="312"/>
      <c r="CG44" s="312"/>
      <c r="CH44" s="315"/>
      <c r="CI44" s="314"/>
      <c r="CJ44" s="312"/>
      <c r="CK44" s="312"/>
      <c r="CL44" s="312"/>
      <c r="CM44" s="315"/>
      <c r="CN44" s="314"/>
      <c r="CO44" s="312"/>
      <c r="CP44" s="312"/>
      <c r="CQ44" s="312"/>
      <c r="CR44" s="315"/>
      <c r="CS44" s="314"/>
      <c r="CT44" s="312"/>
      <c r="CU44" s="312"/>
      <c r="CV44" s="312"/>
      <c r="CW44" s="315"/>
      <c r="CX44" s="314"/>
      <c r="CY44" s="312"/>
      <c r="CZ44" s="312"/>
      <c r="DA44" s="312"/>
      <c r="DB44" s="313"/>
      <c r="DC44" s="314"/>
      <c r="DD44" s="312"/>
      <c r="DE44" s="312"/>
      <c r="DF44" s="312"/>
      <c r="DG44" s="313"/>
      <c r="DH44" s="314"/>
      <c r="DI44" s="312"/>
      <c r="DJ44" s="312"/>
      <c r="DK44" s="312"/>
      <c r="DL44" s="313"/>
      <c r="DM44" s="305">
        <f>COUNTIF($G$44:$DL$44,"/")</f>
        <v>0</v>
      </c>
      <c r="DN44" s="305">
        <f>COUNTIF($G$44:$DL$44,"ป")</f>
        <v>0</v>
      </c>
      <c r="DO44" s="305">
        <f>COUNTIF($G$44:$DL$44,"ล")</f>
        <v>0</v>
      </c>
      <c r="DP44" s="305">
        <f>COUNTIF($G$44:$DL$44,"ข")</f>
        <v>0</v>
      </c>
      <c r="DQ44" s="304">
        <f t="shared" si="1"/>
        <v>0</v>
      </c>
      <c r="DR44" s="355">
        <f t="shared" si="0"/>
        <v>1</v>
      </c>
      <c r="DW44" s="175">
        <v>44</v>
      </c>
    </row>
    <row r="45" spans="1:127" ht="18" customHeight="1" x14ac:dyDescent="0.3">
      <c r="A45" s="309">
        <f>ปพ.5!$A$45</f>
        <v>40</v>
      </c>
      <c r="B45" s="322">
        <f>ปพ.5!$B$45</f>
        <v>0</v>
      </c>
      <c r="C45" s="352">
        <f>ปพ.5!$C$45</f>
        <v>0</v>
      </c>
      <c r="D45" s="582">
        <f>ปพ.5!$D$45</f>
        <v>0</v>
      </c>
      <c r="E45" s="583"/>
      <c r="F45" s="584"/>
      <c r="G45" s="311"/>
      <c r="H45" s="312"/>
      <c r="I45" s="312"/>
      <c r="J45" s="312"/>
      <c r="K45" s="313"/>
      <c r="L45" s="314"/>
      <c r="M45" s="312"/>
      <c r="N45" s="312"/>
      <c r="O45" s="312"/>
      <c r="P45" s="315"/>
      <c r="Q45" s="314"/>
      <c r="R45" s="312"/>
      <c r="S45" s="312"/>
      <c r="T45" s="312"/>
      <c r="U45" s="315"/>
      <c r="V45" s="314"/>
      <c r="W45" s="312"/>
      <c r="X45" s="312"/>
      <c r="Y45" s="312"/>
      <c r="Z45" s="315"/>
      <c r="AA45" s="314"/>
      <c r="AB45" s="312"/>
      <c r="AC45" s="312"/>
      <c r="AD45" s="312"/>
      <c r="AE45" s="315"/>
      <c r="AF45" s="314"/>
      <c r="AG45" s="312"/>
      <c r="AH45" s="312"/>
      <c r="AI45" s="312"/>
      <c r="AJ45" s="315"/>
      <c r="AK45" s="314"/>
      <c r="AL45" s="312"/>
      <c r="AM45" s="312"/>
      <c r="AN45" s="312"/>
      <c r="AO45" s="315"/>
      <c r="AP45" s="314"/>
      <c r="AQ45" s="312"/>
      <c r="AR45" s="312"/>
      <c r="AS45" s="312"/>
      <c r="AT45" s="315"/>
      <c r="AU45" s="314"/>
      <c r="AV45" s="312"/>
      <c r="AW45" s="312"/>
      <c r="AX45" s="312"/>
      <c r="AY45" s="315"/>
      <c r="AZ45" s="314"/>
      <c r="BA45" s="312"/>
      <c r="BB45" s="312"/>
      <c r="BC45" s="312"/>
      <c r="BD45" s="315"/>
      <c r="BE45" s="314"/>
      <c r="BF45" s="312"/>
      <c r="BG45" s="312"/>
      <c r="BH45" s="312"/>
      <c r="BI45" s="315"/>
      <c r="BJ45" s="314"/>
      <c r="BK45" s="312"/>
      <c r="BL45" s="312"/>
      <c r="BM45" s="312"/>
      <c r="BN45" s="315"/>
      <c r="BO45" s="314"/>
      <c r="BP45" s="312"/>
      <c r="BQ45" s="312"/>
      <c r="BR45" s="312"/>
      <c r="BS45" s="315"/>
      <c r="BT45" s="314"/>
      <c r="BU45" s="312"/>
      <c r="BV45" s="312"/>
      <c r="BW45" s="312"/>
      <c r="BX45" s="315"/>
      <c r="BY45" s="314"/>
      <c r="BZ45" s="312"/>
      <c r="CA45" s="312"/>
      <c r="CB45" s="312"/>
      <c r="CC45" s="315"/>
      <c r="CD45" s="314"/>
      <c r="CE45" s="312"/>
      <c r="CF45" s="312"/>
      <c r="CG45" s="312"/>
      <c r="CH45" s="315"/>
      <c r="CI45" s="314"/>
      <c r="CJ45" s="312"/>
      <c r="CK45" s="312"/>
      <c r="CL45" s="312"/>
      <c r="CM45" s="315"/>
      <c r="CN45" s="314"/>
      <c r="CO45" s="312"/>
      <c r="CP45" s="312"/>
      <c r="CQ45" s="312"/>
      <c r="CR45" s="315"/>
      <c r="CS45" s="314"/>
      <c r="CT45" s="312"/>
      <c r="CU45" s="312"/>
      <c r="CV45" s="312"/>
      <c r="CW45" s="315"/>
      <c r="CX45" s="314"/>
      <c r="CY45" s="312"/>
      <c r="CZ45" s="312"/>
      <c r="DA45" s="312"/>
      <c r="DB45" s="313"/>
      <c r="DC45" s="314"/>
      <c r="DD45" s="312"/>
      <c r="DE45" s="312"/>
      <c r="DF45" s="312"/>
      <c r="DG45" s="313"/>
      <c r="DH45" s="314"/>
      <c r="DI45" s="312"/>
      <c r="DJ45" s="312"/>
      <c r="DK45" s="312"/>
      <c r="DL45" s="313"/>
      <c r="DM45" s="305">
        <f>COUNTIF($G$45:$DL$45,"/")</f>
        <v>0</v>
      </c>
      <c r="DN45" s="305">
        <f>COUNTIF($G$45:$DL$45,"ป")</f>
        <v>0</v>
      </c>
      <c r="DO45" s="305">
        <f>COUNTIF($G$45:$DL$45,"ล")</f>
        <v>0</v>
      </c>
      <c r="DP45" s="305">
        <f>COUNTIF($G$45:$DL$45,"ข")</f>
        <v>0</v>
      </c>
      <c r="DQ45" s="304">
        <f t="shared" si="1"/>
        <v>0</v>
      </c>
      <c r="DR45" s="355">
        <f t="shared" si="0"/>
        <v>1</v>
      </c>
      <c r="DW45" s="175">
        <v>45</v>
      </c>
    </row>
    <row r="46" spans="1:127" ht="18" customHeight="1" x14ac:dyDescent="0.3">
      <c r="A46" s="309">
        <f>ปพ.5!$A$46</f>
        <v>41</v>
      </c>
      <c r="B46" s="322">
        <f>ปพ.5!$B$46</f>
        <v>0</v>
      </c>
      <c r="C46" s="352">
        <f>ปพ.5!$C$46</f>
        <v>0</v>
      </c>
      <c r="D46" s="582">
        <f>ปพ.5!$D$46</f>
        <v>0</v>
      </c>
      <c r="E46" s="583"/>
      <c r="F46" s="584"/>
      <c r="G46" s="311"/>
      <c r="H46" s="312"/>
      <c r="I46" s="312"/>
      <c r="J46" s="312"/>
      <c r="K46" s="313"/>
      <c r="L46" s="314"/>
      <c r="M46" s="312"/>
      <c r="N46" s="312"/>
      <c r="O46" s="312"/>
      <c r="P46" s="315"/>
      <c r="Q46" s="314"/>
      <c r="R46" s="312"/>
      <c r="S46" s="312"/>
      <c r="T46" s="312"/>
      <c r="U46" s="315"/>
      <c r="V46" s="314"/>
      <c r="W46" s="312"/>
      <c r="X46" s="312"/>
      <c r="Y46" s="312"/>
      <c r="Z46" s="315"/>
      <c r="AA46" s="314"/>
      <c r="AB46" s="312"/>
      <c r="AC46" s="312"/>
      <c r="AD46" s="312"/>
      <c r="AE46" s="315"/>
      <c r="AF46" s="314"/>
      <c r="AG46" s="312"/>
      <c r="AH46" s="312"/>
      <c r="AI46" s="312"/>
      <c r="AJ46" s="315"/>
      <c r="AK46" s="314"/>
      <c r="AL46" s="312"/>
      <c r="AM46" s="312"/>
      <c r="AN46" s="312"/>
      <c r="AO46" s="315"/>
      <c r="AP46" s="314"/>
      <c r="AQ46" s="312"/>
      <c r="AR46" s="312"/>
      <c r="AS46" s="312"/>
      <c r="AT46" s="315"/>
      <c r="AU46" s="314"/>
      <c r="AV46" s="312"/>
      <c r="AW46" s="312"/>
      <c r="AX46" s="312"/>
      <c r="AY46" s="315"/>
      <c r="AZ46" s="314"/>
      <c r="BA46" s="312"/>
      <c r="BB46" s="312"/>
      <c r="BC46" s="312"/>
      <c r="BD46" s="315"/>
      <c r="BE46" s="314"/>
      <c r="BF46" s="312"/>
      <c r="BG46" s="312"/>
      <c r="BH46" s="312"/>
      <c r="BI46" s="315"/>
      <c r="BJ46" s="314"/>
      <c r="BK46" s="312"/>
      <c r="BL46" s="312"/>
      <c r="BM46" s="312"/>
      <c r="BN46" s="315"/>
      <c r="BO46" s="314"/>
      <c r="BP46" s="312"/>
      <c r="BQ46" s="312"/>
      <c r="BR46" s="312"/>
      <c r="BS46" s="315"/>
      <c r="BT46" s="314"/>
      <c r="BU46" s="312"/>
      <c r="BV46" s="312"/>
      <c r="BW46" s="312"/>
      <c r="BX46" s="315"/>
      <c r="BY46" s="314"/>
      <c r="BZ46" s="312"/>
      <c r="CA46" s="312"/>
      <c r="CB46" s="312"/>
      <c r="CC46" s="315"/>
      <c r="CD46" s="314"/>
      <c r="CE46" s="312"/>
      <c r="CF46" s="312"/>
      <c r="CG46" s="312"/>
      <c r="CH46" s="315"/>
      <c r="CI46" s="314"/>
      <c r="CJ46" s="312"/>
      <c r="CK46" s="312"/>
      <c r="CL46" s="312"/>
      <c r="CM46" s="315"/>
      <c r="CN46" s="314"/>
      <c r="CO46" s="312"/>
      <c r="CP46" s="312"/>
      <c r="CQ46" s="312"/>
      <c r="CR46" s="315"/>
      <c r="CS46" s="314"/>
      <c r="CT46" s="312"/>
      <c r="CU46" s="312"/>
      <c r="CV46" s="312"/>
      <c r="CW46" s="315"/>
      <c r="CX46" s="314"/>
      <c r="CY46" s="312"/>
      <c r="CZ46" s="312"/>
      <c r="DA46" s="312"/>
      <c r="DB46" s="313"/>
      <c r="DC46" s="314"/>
      <c r="DD46" s="312"/>
      <c r="DE46" s="312"/>
      <c r="DF46" s="312"/>
      <c r="DG46" s="313"/>
      <c r="DH46" s="314"/>
      <c r="DI46" s="312"/>
      <c r="DJ46" s="312"/>
      <c r="DK46" s="312"/>
      <c r="DL46" s="313"/>
      <c r="DM46" s="305">
        <f>COUNTIF($G$46:$DL$46,"/")</f>
        <v>0</v>
      </c>
      <c r="DN46" s="305">
        <f>COUNTIF($G$46:$DL$46,"ป")</f>
        <v>0</v>
      </c>
      <c r="DO46" s="305">
        <f>COUNTIF($G$46:$DL$46,"ล")</f>
        <v>0</v>
      </c>
      <c r="DP46" s="305">
        <f>COUNTIF($G$46:$DL$46,"ข")</f>
        <v>0</v>
      </c>
      <c r="DQ46" s="304">
        <f t="shared" si="1"/>
        <v>0</v>
      </c>
      <c r="DR46" s="355">
        <f t="shared" si="0"/>
        <v>1</v>
      </c>
      <c r="DW46" s="175">
        <v>46</v>
      </c>
    </row>
    <row r="47" spans="1:127" ht="18" customHeight="1" x14ac:dyDescent="0.3">
      <c r="A47" s="309">
        <f>ปพ.5!$A$47</f>
        <v>42</v>
      </c>
      <c r="B47" s="322">
        <f>ปพ.5!$B$47</f>
        <v>0</v>
      </c>
      <c r="C47" s="352">
        <f>ปพ.5!$C$47</f>
        <v>0</v>
      </c>
      <c r="D47" s="582">
        <f>ปพ.5!$D$47</f>
        <v>0</v>
      </c>
      <c r="E47" s="583"/>
      <c r="F47" s="584"/>
      <c r="G47" s="311"/>
      <c r="H47" s="312"/>
      <c r="I47" s="312"/>
      <c r="J47" s="312"/>
      <c r="K47" s="313"/>
      <c r="L47" s="314"/>
      <c r="M47" s="312"/>
      <c r="N47" s="312"/>
      <c r="O47" s="312"/>
      <c r="P47" s="315"/>
      <c r="Q47" s="314"/>
      <c r="R47" s="312"/>
      <c r="S47" s="312"/>
      <c r="T47" s="312"/>
      <c r="U47" s="315"/>
      <c r="V47" s="314"/>
      <c r="W47" s="312"/>
      <c r="X47" s="312"/>
      <c r="Y47" s="312"/>
      <c r="Z47" s="315"/>
      <c r="AA47" s="314"/>
      <c r="AB47" s="312"/>
      <c r="AC47" s="312"/>
      <c r="AD47" s="312"/>
      <c r="AE47" s="315"/>
      <c r="AF47" s="314"/>
      <c r="AG47" s="312"/>
      <c r="AH47" s="312"/>
      <c r="AI47" s="312"/>
      <c r="AJ47" s="315"/>
      <c r="AK47" s="314"/>
      <c r="AL47" s="312"/>
      <c r="AM47" s="312"/>
      <c r="AN47" s="312"/>
      <c r="AO47" s="315"/>
      <c r="AP47" s="314"/>
      <c r="AQ47" s="312"/>
      <c r="AR47" s="312"/>
      <c r="AS47" s="312"/>
      <c r="AT47" s="315"/>
      <c r="AU47" s="314"/>
      <c r="AV47" s="312"/>
      <c r="AW47" s="312"/>
      <c r="AX47" s="312"/>
      <c r="AY47" s="315"/>
      <c r="AZ47" s="314"/>
      <c r="BA47" s="312"/>
      <c r="BB47" s="312"/>
      <c r="BC47" s="312"/>
      <c r="BD47" s="315"/>
      <c r="BE47" s="314"/>
      <c r="BF47" s="312"/>
      <c r="BG47" s="312"/>
      <c r="BH47" s="312"/>
      <c r="BI47" s="315"/>
      <c r="BJ47" s="314"/>
      <c r="BK47" s="312"/>
      <c r="BL47" s="312"/>
      <c r="BM47" s="312"/>
      <c r="BN47" s="315"/>
      <c r="BO47" s="314"/>
      <c r="BP47" s="312"/>
      <c r="BQ47" s="312"/>
      <c r="BR47" s="312"/>
      <c r="BS47" s="315"/>
      <c r="BT47" s="314"/>
      <c r="BU47" s="312"/>
      <c r="BV47" s="312"/>
      <c r="BW47" s="312"/>
      <c r="BX47" s="315"/>
      <c r="BY47" s="314"/>
      <c r="BZ47" s="312"/>
      <c r="CA47" s="312"/>
      <c r="CB47" s="312"/>
      <c r="CC47" s="315"/>
      <c r="CD47" s="314"/>
      <c r="CE47" s="312"/>
      <c r="CF47" s="312"/>
      <c r="CG47" s="312"/>
      <c r="CH47" s="315"/>
      <c r="CI47" s="314"/>
      <c r="CJ47" s="312"/>
      <c r="CK47" s="312"/>
      <c r="CL47" s="312"/>
      <c r="CM47" s="315"/>
      <c r="CN47" s="314"/>
      <c r="CO47" s="312"/>
      <c r="CP47" s="312"/>
      <c r="CQ47" s="312"/>
      <c r="CR47" s="315"/>
      <c r="CS47" s="314"/>
      <c r="CT47" s="312"/>
      <c r="CU47" s="312"/>
      <c r="CV47" s="312"/>
      <c r="CW47" s="315"/>
      <c r="CX47" s="314"/>
      <c r="CY47" s="312"/>
      <c r="CZ47" s="312"/>
      <c r="DA47" s="312"/>
      <c r="DB47" s="313"/>
      <c r="DC47" s="314"/>
      <c r="DD47" s="312"/>
      <c r="DE47" s="312"/>
      <c r="DF47" s="312"/>
      <c r="DG47" s="313"/>
      <c r="DH47" s="314"/>
      <c r="DI47" s="312"/>
      <c r="DJ47" s="312"/>
      <c r="DK47" s="312"/>
      <c r="DL47" s="313"/>
      <c r="DM47" s="305">
        <f>COUNTIF($G$47:$DL$47,"/")</f>
        <v>0</v>
      </c>
      <c r="DN47" s="305">
        <f>COUNTIF($G$47:$DL$47,"ป")</f>
        <v>0</v>
      </c>
      <c r="DO47" s="305">
        <f>COUNTIF($G$47:$DL$47,"ล")</f>
        <v>0</v>
      </c>
      <c r="DP47" s="305">
        <f>COUNTIF($G$47:$DL$47,"ข")</f>
        <v>0</v>
      </c>
      <c r="DQ47" s="304">
        <f t="shared" si="1"/>
        <v>0</v>
      </c>
      <c r="DR47" s="355">
        <f t="shared" si="0"/>
        <v>1</v>
      </c>
      <c r="DW47" s="175">
        <v>47</v>
      </c>
    </row>
    <row r="48" spans="1:127" ht="18" customHeight="1" x14ac:dyDescent="0.3">
      <c r="A48" s="309">
        <f>ปพ.5!$A$48</f>
        <v>43</v>
      </c>
      <c r="B48" s="322">
        <f>ปพ.5!$B$48</f>
        <v>0</v>
      </c>
      <c r="C48" s="352">
        <f>ปพ.5!$C$48</f>
        <v>0</v>
      </c>
      <c r="D48" s="582">
        <f>ปพ.5!$D$48</f>
        <v>0</v>
      </c>
      <c r="E48" s="583"/>
      <c r="F48" s="584"/>
      <c r="G48" s="311"/>
      <c r="H48" s="312"/>
      <c r="I48" s="312"/>
      <c r="J48" s="312"/>
      <c r="K48" s="313"/>
      <c r="L48" s="314"/>
      <c r="M48" s="312"/>
      <c r="N48" s="312"/>
      <c r="O48" s="312"/>
      <c r="P48" s="315"/>
      <c r="Q48" s="314"/>
      <c r="R48" s="312"/>
      <c r="S48" s="312"/>
      <c r="T48" s="312"/>
      <c r="U48" s="315"/>
      <c r="V48" s="314"/>
      <c r="W48" s="312"/>
      <c r="X48" s="312"/>
      <c r="Y48" s="312"/>
      <c r="Z48" s="315"/>
      <c r="AA48" s="314"/>
      <c r="AB48" s="312"/>
      <c r="AC48" s="312"/>
      <c r="AD48" s="312"/>
      <c r="AE48" s="315"/>
      <c r="AF48" s="314"/>
      <c r="AG48" s="312"/>
      <c r="AH48" s="312"/>
      <c r="AI48" s="312"/>
      <c r="AJ48" s="315"/>
      <c r="AK48" s="314"/>
      <c r="AL48" s="312"/>
      <c r="AM48" s="312"/>
      <c r="AN48" s="312"/>
      <c r="AO48" s="315"/>
      <c r="AP48" s="314"/>
      <c r="AQ48" s="312"/>
      <c r="AR48" s="312"/>
      <c r="AS48" s="312"/>
      <c r="AT48" s="315"/>
      <c r="AU48" s="314"/>
      <c r="AV48" s="312"/>
      <c r="AW48" s="312"/>
      <c r="AX48" s="312"/>
      <c r="AY48" s="315"/>
      <c r="AZ48" s="314"/>
      <c r="BA48" s="312"/>
      <c r="BB48" s="312"/>
      <c r="BC48" s="312"/>
      <c r="BD48" s="315"/>
      <c r="BE48" s="314"/>
      <c r="BF48" s="312"/>
      <c r="BG48" s="312"/>
      <c r="BH48" s="312"/>
      <c r="BI48" s="315"/>
      <c r="BJ48" s="314"/>
      <c r="BK48" s="312"/>
      <c r="BL48" s="312"/>
      <c r="BM48" s="312"/>
      <c r="BN48" s="315"/>
      <c r="BO48" s="314"/>
      <c r="BP48" s="312"/>
      <c r="BQ48" s="312"/>
      <c r="BR48" s="312"/>
      <c r="BS48" s="315"/>
      <c r="BT48" s="314"/>
      <c r="BU48" s="312"/>
      <c r="BV48" s="312"/>
      <c r="BW48" s="312"/>
      <c r="BX48" s="315"/>
      <c r="BY48" s="314"/>
      <c r="BZ48" s="312"/>
      <c r="CA48" s="312"/>
      <c r="CB48" s="312"/>
      <c r="CC48" s="315"/>
      <c r="CD48" s="314"/>
      <c r="CE48" s="312"/>
      <c r="CF48" s="312"/>
      <c r="CG48" s="312"/>
      <c r="CH48" s="315"/>
      <c r="CI48" s="314"/>
      <c r="CJ48" s="312"/>
      <c r="CK48" s="312"/>
      <c r="CL48" s="312"/>
      <c r="CM48" s="315"/>
      <c r="CN48" s="314"/>
      <c r="CO48" s="312"/>
      <c r="CP48" s="312"/>
      <c r="CQ48" s="312"/>
      <c r="CR48" s="315"/>
      <c r="CS48" s="314"/>
      <c r="CT48" s="312"/>
      <c r="CU48" s="312"/>
      <c r="CV48" s="312"/>
      <c r="CW48" s="315"/>
      <c r="CX48" s="314"/>
      <c r="CY48" s="312"/>
      <c r="CZ48" s="312"/>
      <c r="DA48" s="312"/>
      <c r="DB48" s="313"/>
      <c r="DC48" s="314"/>
      <c r="DD48" s="312"/>
      <c r="DE48" s="312"/>
      <c r="DF48" s="312"/>
      <c r="DG48" s="313"/>
      <c r="DH48" s="314"/>
      <c r="DI48" s="312"/>
      <c r="DJ48" s="312"/>
      <c r="DK48" s="312"/>
      <c r="DL48" s="313"/>
      <c r="DM48" s="305">
        <f>COUNTIF($G$48:$DL$48,"/")</f>
        <v>0</v>
      </c>
      <c r="DN48" s="305">
        <f>COUNTIF($G$48:$DL$48,"ป")</f>
        <v>0</v>
      </c>
      <c r="DO48" s="305">
        <f>COUNTIF($G$48:$DL$48,"ล")</f>
        <v>0</v>
      </c>
      <c r="DP48" s="305">
        <f>COUNTIF($G$48:$DL$48,"ข")</f>
        <v>0</v>
      </c>
      <c r="DQ48" s="304">
        <f t="shared" si="1"/>
        <v>0</v>
      </c>
      <c r="DR48" s="355">
        <f t="shared" si="0"/>
        <v>1</v>
      </c>
      <c r="DW48" s="175">
        <v>48</v>
      </c>
    </row>
    <row r="49" spans="1:127" ht="18" customHeight="1" x14ac:dyDescent="0.3">
      <c r="A49" s="309">
        <f>ปพ.5!$A$49</f>
        <v>44</v>
      </c>
      <c r="B49" s="322">
        <f>ปพ.5!$B$49</f>
        <v>0</v>
      </c>
      <c r="C49" s="352">
        <f>ปพ.5!$C$49</f>
        <v>0</v>
      </c>
      <c r="D49" s="582">
        <f>ปพ.5!$D$49</f>
        <v>0</v>
      </c>
      <c r="E49" s="583"/>
      <c r="F49" s="584"/>
      <c r="G49" s="311"/>
      <c r="H49" s="312"/>
      <c r="I49" s="312"/>
      <c r="J49" s="312"/>
      <c r="K49" s="313"/>
      <c r="L49" s="314"/>
      <c r="M49" s="312"/>
      <c r="N49" s="312"/>
      <c r="O49" s="312"/>
      <c r="P49" s="315"/>
      <c r="Q49" s="314"/>
      <c r="R49" s="312"/>
      <c r="S49" s="312"/>
      <c r="T49" s="312"/>
      <c r="U49" s="315"/>
      <c r="V49" s="314"/>
      <c r="W49" s="312"/>
      <c r="X49" s="312"/>
      <c r="Y49" s="312"/>
      <c r="Z49" s="315"/>
      <c r="AA49" s="314"/>
      <c r="AB49" s="312"/>
      <c r="AC49" s="312"/>
      <c r="AD49" s="312"/>
      <c r="AE49" s="315"/>
      <c r="AF49" s="314"/>
      <c r="AG49" s="312"/>
      <c r="AH49" s="312"/>
      <c r="AI49" s="312"/>
      <c r="AJ49" s="315"/>
      <c r="AK49" s="314"/>
      <c r="AL49" s="312"/>
      <c r="AM49" s="312"/>
      <c r="AN49" s="312"/>
      <c r="AO49" s="315"/>
      <c r="AP49" s="314"/>
      <c r="AQ49" s="312"/>
      <c r="AR49" s="312"/>
      <c r="AS49" s="312"/>
      <c r="AT49" s="315"/>
      <c r="AU49" s="314"/>
      <c r="AV49" s="312"/>
      <c r="AW49" s="312"/>
      <c r="AX49" s="312"/>
      <c r="AY49" s="315"/>
      <c r="AZ49" s="314"/>
      <c r="BA49" s="312"/>
      <c r="BB49" s="312"/>
      <c r="BC49" s="312"/>
      <c r="BD49" s="315"/>
      <c r="BE49" s="314"/>
      <c r="BF49" s="312"/>
      <c r="BG49" s="312"/>
      <c r="BH49" s="312"/>
      <c r="BI49" s="315"/>
      <c r="BJ49" s="314"/>
      <c r="BK49" s="312"/>
      <c r="BL49" s="312"/>
      <c r="BM49" s="312"/>
      <c r="BN49" s="315"/>
      <c r="BO49" s="314"/>
      <c r="BP49" s="312"/>
      <c r="BQ49" s="312"/>
      <c r="BR49" s="312"/>
      <c r="BS49" s="315"/>
      <c r="BT49" s="314"/>
      <c r="BU49" s="312"/>
      <c r="BV49" s="312"/>
      <c r="BW49" s="312"/>
      <c r="BX49" s="315"/>
      <c r="BY49" s="314"/>
      <c r="BZ49" s="312"/>
      <c r="CA49" s="312"/>
      <c r="CB49" s="312"/>
      <c r="CC49" s="315"/>
      <c r="CD49" s="314"/>
      <c r="CE49" s="312"/>
      <c r="CF49" s="312"/>
      <c r="CG49" s="312"/>
      <c r="CH49" s="315"/>
      <c r="CI49" s="314"/>
      <c r="CJ49" s="312"/>
      <c r="CK49" s="312"/>
      <c r="CL49" s="312"/>
      <c r="CM49" s="315"/>
      <c r="CN49" s="314"/>
      <c r="CO49" s="312"/>
      <c r="CP49" s="312"/>
      <c r="CQ49" s="312"/>
      <c r="CR49" s="315"/>
      <c r="CS49" s="314"/>
      <c r="CT49" s="312"/>
      <c r="CU49" s="312"/>
      <c r="CV49" s="312"/>
      <c r="CW49" s="315"/>
      <c r="CX49" s="314"/>
      <c r="CY49" s="312"/>
      <c r="CZ49" s="312"/>
      <c r="DA49" s="312"/>
      <c r="DB49" s="313"/>
      <c r="DC49" s="314"/>
      <c r="DD49" s="312"/>
      <c r="DE49" s="312"/>
      <c r="DF49" s="312"/>
      <c r="DG49" s="313"/>
      <c r="DH49" s="314"/>
      <c r="DI49" s="312"/>
      <c r="DJ49" s="312"/>
      <c r="DK49" s="312"/>
      <c r="DL49" s="313"/>
      <c r="DM49" s="305">
        <f>COUNTIF($G$49:$DL$49,"/")</f>
        <v>0</v>
      </c>
      <c r="DN49" s="305">
        <f>COUNTIF($G$49:$DL$49,"ป")</f>
        <v>0</v>
      </c>
      <c r="DO49" s="305">
        <f>COUNTIF($G$49:$DL$49,"ล")</f>
        <v>0</v>
      </c>
      <c r="DP49" s="305">
        <f>COUNTIF($G$49:$DL$49,"ข")</f>
        <v>0</v>
      </c>
      <c r="DQ49" s="304">
        <f t="shared" si="1"/>
        <v>0</v>
      </c>
      <c r="DR49" s="355">
        <f t="shared" si="0"/>
        <v>1</v>
      </c>
      <c r="DW49" s="175">
        <v>49</v>
      </c>
    </row>
    <row r="50" spans="1:127" ht="18" customHeight="1" x14ac:dyDescent="0.3">
      <c r="A50" s="309">
        <f>ปพ.5!$A$50</f>
        <v>45</v>
      </c>
      <c r="B50" s="322">
        <f>ปพ.5!$B$50</f>
        <v>0</v>
      </c>
      <c r="C50" s="352">
        <f>ปพ.5!$C$50</f>
        <v>0</v>
      </c>
      <c r="D50" s="582">
        <f>ปพ.5!$D$50</f>
        <v>0</v>
      </c>
      <c r="E50" s="583"/>
      <c r="F50" s="584"/>
      <c r="G50" s="311"/>
      <c r="H50" s="312"/>
      <c r="I50" s="312"/>
      <c r="J50" s="312"/>
      <c r="K50" s="313"/>
      <c r="L50" s="314"/>
      <c r="M50" s="312"/>
      <c r="N50" s="312"/>
      <c r="O50" s="312"/>
      <c r="P50" s="315"/>
      <c r="Q50" s="314"/>
      <c r="R50" s="312"/>
      <c r="S50" s="312"/>
      <c r="T50" s="312"/>
      <c r="U50" s="315"/>
      <c r="V50" s="314"/>
      <c r="W50" s="312"/>
      <c r="X50" s="312"/>
      <c r="Y50" s="312"/>
      <c r="Z50" s="315"/>
      <c r="AA50" s="314"/>
      <c r="AB50" s="312"/>
      <c r="AC50" s="312"/>
      <c r="AD50" s="312"/>
      <c r="AE50" s="315"/>
      <c r="AF50" s="314"/>
      <c r="AG50" s="312"/>
      <c r="AH50" s="312"/>
      <c r="AI50" s="312"/>
      <c r="AJ50" s="315"/>
      <c r="AK50" s="314"/>
      <c r="AL50" s="312"/>
      <c r="AM50" s="312"/>
      <c r="AN50" s="312"/>
      <c r="AO50" s="315"/>
      <c r="AP50" s="314"/>
      <c r="AQ50" s="312"/>
      <c r="AR50" s="312"/>
      <c r="AS50" s="312"/>
      <c r="AT50" s="315"/>
      <c r="AU50" s="314"/>
      <c r="AV50" s="312"/>
      <c r="AW50" s="312"/>
      <c r="AX50" s="312"/>
      <c r="AY50" s="315"/>
      <c r="AZ50" s="314"/>
      <c r="BA50" s="312"/>
      <c r="BB50" s="312"/>
      <c r="BC50" s="312"/>
      <c r="BD50" s="315"/>
      <c r="BE50" s="314"/>
      <c r="BF50" s="312"/>
      <c r="BG50" s="312"/>
      <c r="BH50" s="312"/>
      <c r="BI50" s="315"/>
      <c r="BJ50" s="314"/>
      <c r="BK50" s="312"/>
      <c r="BL50" s="312"/>
      <c r="BM50" s="312"/>
      <c r="BN50" s="315"/>
      <c r="BO50" s="314"/>
      <c r="BP50" s="312"/>
      <c r="BQ50" s="312"/>
      <c r="BR50" s="312"/>
      <c r="BS50" s="315"/>
      <c r="BT50" s="314"/>
      <c r="BU50" s="312"/>
      <c r="BV50" s="312"/>
      <c r="BW50" s="312"/>
      <c r="BX50" s="315"/>
      <c r="BY50" s="314"/>
      <c r="BZ50" s="312"/>
      <c r="CA50" s="312"/>
      <c r="CB50" s="312"/>
      <c r="CC50" s="315"/>
      <c r="CD50" s="314"/>
      <c r="CE50" s="312"/>
      <c r="CF50" s="312"/>
      <c r="CG50" s="312"/>
      <c r="CH50" s="315"/>
      <c r="CI50" s="314"/>
      <c r="CJ50" s="312"/>
      <c r="CK50" s="312"/>
      <c r="CL50" s="312"/>
      <c r="CM50" s="315"/>
      <c r="CN50" s="314"/>
      <c r="CO50" s="312"/>
      <c r="CP50" s="312"/>
      <c r="CQ50" s="312"/>
      <c r="CR50" s="315"/>
      <c r="CS50" s="314"/>
      <c r="CT50" s="312"/>
      <c r="CU50" s="312"/>
      <c r="CV50" s="312"/>
      <c r="CW50" s="315"/>
      <c r="CX50" s="314"/>
      <c r="CY50" s="312"/>
      <c r="CZ50" s="312"/>
      <c r="DA50" s="312"/>
      <c r="DB50" s="313"/>
      <c r="DC50" s="314"/>
      <c r="DD50" s="312"/>
      <c r="DE50" s="312"/>
      <c r="DF50" s="312"/>
      <c r="DG50" s="313"/>
      <c r="DH50" s="314"/>
      <c r="DI50" s="312"/>
      <c r="DJ50" s="312"/>
      <c r="DK50" s="312"/>
      <c r="DL50" s="313"/>
      <c r="DM50" s="305">
        <f>COUNTIF($G$50:$DL$50,"/")</f>
        <v>0</v>
      </c>
      <c r="DN50" s="305">
        <f>COUNTIF($G$50:$DL$50,"ป")</f>
        <v>0</v>
      </c>
      <c r="DO50" s="305">
        <f>COUNTIF($G$50:$DL$50,"ล")</f>
        <v>0</v>
      </c>
      <c r="DP50" s="305">
        <f>COUNTIF($G$50:$DL$50,"ข")</f>
        <v>0</v>
      </c>
      <c r="DQ50" s="304">
        <f t="shared" si="1"/>
        <v>0</v>
      </c>
      <c r="DR50" s="355">
        <f t="shared" si="0"/>
        <v>1</v>
      </c>
      <c r="DW50" s="175">
        <v>50</v>
      </c>
    </row>
    <row r="51" spans="1:127" ht="18" customHeight="1" x14ac:dyDescent="0.3">
      <c r="A51" s="309">
        <f>ปพ.5!$A$51</f>
        <v>46</v>
      </c>
      <c r="B51" s="322">
        <f>ปพ.5!$B$51</f>
        <v>0</v>
      </c>
      <c r="C51" s="352">
        <f>ปพ.5!$C$51</f>
        <v>0</v>
      </c>
      <c r="D51" s="582">
        <f>ปพ.5!$D$51</f>
        <v>0</v>
      </c>
      <c r="E51" s="583"/>
      <c r="F51" s="584"/>
      <c r="G51" s="311"/>
      <c r="H51" s="312"/>
      <c r="I51" s="312"/>
      <c r="J51" s="312"/>
      <c r="K51" s="313"/>
      <c r="L51" s="314"/>
      <c r="M51" s="312"/>
      <c r="N51" s="312"/>
      <c r="O51" s="312"/>
      <c r="P51" s="315"/>
      <c r="Q51" s="314"/>
      <c r="R51" s="312"/>
      <c r="S51" s="312"/>
      <c r="T51" s="312"/>
      <c r="U51" s="315"/>
      <c r="V51" s="314"/>
      <c r="W51" s="312"/>
      <c r="X51" s="312"/>
      <c r="Y51" s="312"/>
      <c r="Z51" s="315"/>
      <c r="AA51" s="314"/>
      <c r="AB51" s="312"/>
      <c r="AC51" s="312"/>
      <c r="AD51" s="312"/>
      <c r="AE51" s="315"/>
      <c r="AF51" s="314"/>
      <c r="AG51" s="312"/>
      <c r="AH51" s="312"/>
      <c r="AI51" s="312"/>
      <c r="AJ51" s="315"/>
      <c r="AK51" s="314"/>
      <c r="AL51" s="312"/>
      <c r="AM51" s="312"/>
      <c r="AN51" s="312"/>
      <c r="AO51" s="315"/>
      <c r="AP51" s="314"/>
      <c r="AQ51" s="312"/>
      <c r="AR51" s="312"/>
      <c r="AS51" s="312"/>
      <c r="AT51" s="315"/>
      <c r="AU51" s="314"/>
      <c r="AV51" s="312"/>
      <c r="AW51" s="312"/>
      <c r="AX51" s="312"/>
      <c r="AY51" s="315"/>
      <c r="AZ51" s="314"/>
      <c r="BA51" s="312"/>
      <c r="BB51" s="312"/>
      <c r="BC51" s="312"/>
      <c r="BD51" s="315"/>
      <c r="BE51" s="314"/>
      <c r="BF51" s="312"/>
      <c r="BG51" s="312"/>
      <c r="BH51" s="312"/>
      <c r="BI51" s="315"/>
      <c r="BJ51" s="314"/>
      <c r="BK51" s="312"/>
      <c r="BL51" s="312"/>
      <c r="BM51" s="312"/>
      <c r="BN51" s="315"/>
      <c r="BO51" s="314"/>
      <c r="BP51" s="312"/>
      <c r="BQ51" s="312"/>
      <c r="BR51" s="312"/>
      <c r="BS51" s="315"/>
      <c r="BT51" s="314"/>
      <c r="BU51" s="312"/>
      <c r="BV51" s="312"/>
      <c r="BW51" s="312"/>
      <c r="BX51" s="315"/>
      <c r="BY51" s="314"/>
      <c r="BZ51" s="312"/>
      <c r="CA51" s="312"/>
      <c r="CB51" s="312"/>
      <c r="CC51" s="315"/>
      <c r="CD51" s="314"/>
      <c r="CE51" s="312"/>
      <c r="CF51" s="312"/>
      <c r="CG51" s="312"/>
      <c r="CH51" s="315"/>
      <c r="CI51" s="314"/>
      <c r="CJ51" s="312"/>
      <c r="CK51" s="312"/>
      <c r="CL51" s="312"/>
      <c r="CM51" s="315"/>
      <c r="CN51" s="314"/>
      <c r="CO51" s="312"/>
      <c r="CP51" s="312"/>
      <c r="CQ51" s="312"/>
      <c r="CR51" s="315"/>
      <c r="CS51" s="314"/>
      <c r="CT51" s="312"/>
      <c r="CU51" s="312"/>
      <c r="CV51" s="312"/>
      <c r="CW51" s="315"/>
      <c r="CX51" s="314"/>
      <c r="CY51" s="312"/>
      <c r="CZ51" s="312"/>
      <c r="DA51" s="312"/>
      <c r="DB51" s="313"/>
      <c r="DC51" s="314"/>
      <c r="DD51" s="312"/>
      <c r="DE51" s="312"/>
      <c r="DF51" s="312"/>
      <c r="DG51" s="313"/>
      <c r="DH51" s="314"/>
      <c r="DI51" s="312"/>
      <c r="DJ51" s="312"/>
      <c r="DK51" s="312"/>
      <c r="DL51" s="313"/>
      <c r="DM51" s="305">
        <f>COUNTIF($G$51:$DL$51,"/")</f>
        <v>0</v>
      </c>
      <c r="DN51" s="305">
        <f>COUNTIF($G$51:$DL$51,"ป")</f>
        <v>0</v>
      </c>
      <c r="DO51" s="305">
        <f>COUNTIF($G$51:$DL$51,"ล")</f>
        <v>0</v>
      </c>
      <c r="DP51" s="305">
        <f>COUNTIF($G$51:$DL$51,"ข")</f>
        <v>0</v>
      </c>
      <c r="DQ51" s="304">
        <f t="shared" si="1"/>
        <v>0</v>
      </c>
      <c r="DR51" s="355">
        <f t="shared" si="0"/>
        <v>1</v>
      </c>
      <c r="DW51" s="175">
        <v>51</v>
      </c>
    </row>
    <row r="52" spans="1:127" ht="18" customHeight="1" x14ac:dyDescent="0.3">
      <c r="A52" s="309">
        <f>ปพ.5!$A$52</f>
        <v>47</v>
      </c>
      <c r="B52" s="322">
        <f>ปพ.5!$B$52</f>
        <v>0</v>
      </c>
      <c r="C52" s="352">
        <f>ปพ.5!$C$52</f>
        <v>0</v>
      </c>
      <c r="D52" s="582">
        <f>ปพ.5!$D$52</f>
        <v>0</v>
      </c>
      <c r="E52" s="583"/>
      <c r="F52" s="584"/>
      <c r="G52" s="311"/>
      <c r="H52" s="312"/>
      <c r="I52" s="312"/>
      <c r="J52" s="312"/>
      <c r="K52" s="313"/>
      <c r="L52" s="314"/>
      <c r="M52" s="312"/>
      <c r="N52" s="312"/>
      <c r="O52" s="312"/>
      <c r="P52" s="315"/>
      <c r="Q52" s="314"/>
      <c r="R52" s="312"/>
      <c r="S52" s="312"/>
      <c r="T52" s="312"/>
      <c r="U52" s="315"/>
      <c r="V52" s="314"/>
      <c r="W52" s="312"/>
      <c r="X52" s="312"/>
      <c r="Y52" s="312"/>
      <c r="Z52" s="315"/>
      <c r="AA52" s="314"/>
      <c r="AB52" s="312"/>
      <c r="AC52" s="312"/>
      <c r="AD52" s="312"/>
      <c r="AE52" s="315"/>
      <c r="AF52" s="314"/>
      <c r="AG52" s="312"/>
      <c r="AH52" s="312"/>
      <c r="AI52" s="312"/>
      <c r="AJ52" s="315"/>
      <c r="AK52" s="314"/>
      <c r="AL52" s="312"/>
      <c r="AM52" s="312"/>
      <c r="AN52" s="312"/>
      <c r="AO52" s="315"/>
      <c r="AP52" s="314"/>
      <c r="AQ52" s="312"/>
      <c r="AR52" s="312"/>
      <c r="AS52" s="312"/>
      <c r="AT52" s="315"/>
      <c r="AU52" s="314"/>
      <c r="AV52" s="312"/>
      <c r="AW52" s="312"/>
      <c r="AX52" s="312"/>
      <c r="AY52" s="315"/>
      <c r="AZ52" s="314"/>
      <c r="BA52" s="312"/>
      <c r="BB52" s="312"/>
      <c r="BC52" s="312"/>
      <c r="BD52" s="315"/>
      <c r="BE52" s="314"/>
      <c r="BF52" s="312"/>
      <c r="BG52" s="312"/>
      <c r="BH52" s="312"/>
      <c r="BI52" s="315"/>
      <c r="BJ52" s="314"/>
      <c r="BK52" s="312"/>
      <c r="BL52" s="312"/>
      <c r="BM52" s="312"/>
      <c r="BN52" s="315"/>
      <c r="BO52" s="314"/>
      <c r="BP52" s="312"/>
      <c r="BQ52" s="312"/>
      <c r="BR52" s="312"/>
      <c r="BS52" s="315"/>
      <c r="BT52" s="314"/>
      <c r="BU52" s="312"/>
      <c r="BV52" s="312"/>
      <c r="BW52" s="312"/>
      <c r="BX52" s="315"/>
      <c r="BY52" s="314"/>
      <c r="BZ52" s="312"/>
      <c r="CA52" s="312"/>
      <c r="CB52" s="312"/>
      <c r="CC52" s="315"/>
      <c r="CD52" s="314"/>
      <c r="CE52" s="312"/>
      <c r="CF52" s="312"/>
      <c r="CG52" s="312"/>
      <c r="CH52" s="315"/>
      <c r="CI52" s="314"/>
      <c r="CJ52" s="312"/>
      <c r="CK52" s="312"/>
      <c r="CL52" s="312"/>
      <c r="CM52" s="315"/>
      <c r="CN52" s="314"/>
      <c r="CO52" s="312"/>
      <c r="CP52" s="312"/>
      <c r="CQ52" s="312"/>
      <c r="CR52" s="315"/>
      <c r="CS52" s="314"/>
      <c r="CT52" s="312"/>
      <c r="CU52" s="312"/>
      <c r="CV52" s="312"/>
      <c r="CW52" s="315"/>
      <c r="CX52" s="314"/>
      <c r="CY52" s="312"/>
      <c r="CZ52" s="312"/>
      <c r="DA52" s="312"/>
      <c r="DB52" s="313"/>
      <c r="DC52" s="314"/>
      <c r="DD52" s="312"/>
      <c r="DE52" s="312"/>
      <c r="DF52" s="312"/>
      <c r="DG52" s="313"/>
      <c r="DH52" s="314"/>
      <c r="DI52" s="312"/>
      <c r="DJ52" s="312"/>
      <c r="DK52" s="312"/>
      <c r="DL52" s="313"/>
      <c r="DM52" s="305">
        <f>COUNTIF($G$52:$DL$52,"/")</f>
        <v>0</v>
      </c>
      <c r="DN52" s="305">
        <f>COUNTIF($G$52:$DL$52,"ป")</f>
        <v>0</v>
      </c>
      <c r="DO52" s="305">
        <f>COUNTIF($G$52:$DL$52,"ล")</f>
        <v>0</v>
      </c>
      <c r="DP52" s="305">
        <f>COUNTIF($G$52:$DL$52,"ข")</f>
        <v>0</v>
      </c>
      <c r="DQ52" s="304">
        <f t="shared" si="1"/>
        <v>0</v>
      </c>
      <c r="DR52" s="355">
        <f t="shared" si="0"/>
        <v>1</v>
      </c>
      <c r="DW52" s="175">
        <v>52</v>
      </c>
    </row>
    <row r="53" spans="1:127" ht="18" customHeight="1" x14ac:dyDescent="0.3">
      <c r="A53" s="309">
        <f>ปพ.5!$A$53</f>
        <v>48</v>
      </c>
      <c r="B53" s="322">
        <f>ปพ.5!$B$53</f>
        <v>0</v>
      </c>
      <c r="C53" s="352">
        <f>ปพ.5!$C$53</f>
        <v>0</v>
      </c>
      <c r="D53" s="582">
        <f>ปพ.5!$D$53</f>
        <v>0</v>
      </c>
      <c r="E53" s="583"/>
      <c r="F53" s="584"/>
      <c r="G53" s="311"/>
      <c r="H53" s="312"/>
      <c r="I53" s="312"/>
      <c r="J53" s="312"/>
      <c r="K53" s="313"/>
      <c r="L53" s="314"/>
      <c r="M53" s="312"/>
      <c r="N53" s="312"/>
      <c r="O53" s="312"/>
      <c r="P53" s="315"/>
      <c r="Q53" s="314"/>
      <c r="R53" s="312"/>
      <c r="S53" s="312"/>
      <c r="T53" s="312"/>
      <c r="U53" s="315"/>
      <c r="V53" s="314"/>
      <c r="W53" s="312"/>
      <c r="X53" s="312"/>
      <c r="Y53" s="312"/>
      <c r="Z53" s="315"/>
      <c r="AA53" s="314"/>
      <c r="AB53" s="312"/>
      <c r="AC53" s="312"/>
      <c r="AD53" s="312"/>
      <c r="AE53" s="315"/>
      <c r="AF53" s="314"/>
      <c r="AG53" s="312"/>
      <c r="AH53" s="312"/>
      <c r="AI53" s="312"/>
      <c r="AJ53" s="315"/>
      <c r="AK53" s="314"/>
      <c r="AL53" s="312"/>
      <c r="AM53" s="312"/>
      <c r="AN53" s="312"/>
      <c r="AO53" s="315"/>
      <c r="AP53" s="314"/>
      <c r="AQ53" s="312"/>
      <c r="AR53" s="312"/>
      <c r="AS53" s="312"/>
      <c r="AT53" s="315"/>
      <c r="AU53" s="314"/>
      <c r="AV53" s="312"/>
      <c r="AW53" s="312"/>
      <c r="AX53" s="312"/>
      <c r="AY53" s="315"/>
      <c r="AZ53" s="314"/>
      <c r="BA53" s="312"/>
      <c r="BB53" s="312"/>
      <c r="BC53" s="312"/>
      <c r="BD53" s="315"/>
      <c r="BE53" s="314"/>
      <c r="BF53" s="312"/>
      <c r="BG53" s="312"/>
      <c r="BH53" s="312"/>
      <c r="BI53" s="315"/>
      <c r="BJ53" s="314"/>
      <c r="BK53" s="312"/>
      <c r="BL53" s="312"/>
      <c r="BM53" s="312"/>
      <c r="BN53" s="315"/>
      <c r="BO53" s="314"/>
      <c r="BP53" s="312"/>
      <c r="BQ53" s="312"/>
      <c r="BR53" s="312"/>
      <c r="BS53" s="315"/>
      <c r="BT53" s="314"/>
      <c r="BU53" s="312"/>
      <c r="BV53" s="312"/>
      <c r="BW53" s="312"/>
      <c r="BX53" s="315"/>
      <c r="BY53" s="314"/>
      <c r="BZ53" s="312"/>
      <c r="CA53" s="312"/>
      <c r="CB53" s="312"/>
      <c r="CC53" s="315"/>
      <c r="CD53" s="314"/>
      <c r="CE53" s="312"/>
      <c r="CF53" s="312"/>
      <c r="CG53" s="312"/>
      <c r="CH53" s="315"/>
      <c r="CI53" s="314"/>
      <c r="CJ53" s="312"/>
      <c r="CK53" s="312"/>
      <c r="CL53" s="312"/>
      <c r="CM53" s="315"/>
      <c r="CN53" s="314"/>
      <c r="CO53" s="312"/>
      <c r="CP53" s="312"/>
      <c r="CQ53" s="312"/>
      <c r="CR53" s="315"/>
      <c r="CS53" s="314"/>
      <c r="CT53" s="312"/>
      <c r="CU53" s="312"/>
      <c r="CV53" s="312"/>
      <c r="CW53" s="315"/>
      <c r="CX53" s="314"/>
      <c r="CY53" s="312"/>
      <c r="CZ53" s="312"/>
      <c r="DA53" s="312"/>
      <c r="DB53" s="313"/>
      <c r="DC53" s="314"/>
      <c r="DD53" s="312"/>
      <c r="DE53" s="312"/>
      <c r="DF53" s="312"/>
      <c r="DG53" s="313"/>
      <c r="DH53" s="314"/>
      <c r="DI53" s="312"/>
      <c r="DJ53" s="312"/>
      <c r="DK53" s="312"/>
      <c r="DL53" s="313"/>
      <c r="DM53" s="305">
        <f>COUNTIF($G$53:$DL$53,"/")</f>
        <v>0</v>
      </c>
      <c r="DN53" s="305">
        <f>COUNTIF($G$53:$DL$53,"ป")</f>
        <v>0</v>
      </c>
      <c r="DO53" s="305">
        <f>COUNTIF($G$53:$DL$53,"ล")</f>
        <v>0</v>
      </c>
      <c r="DP53" s="305">
        <f>COUNTIF($G$53:$DL$53,"ข")</f>
        <v>0</v>
      </c>
      <c r="DQ53" s="304">
        <f t="shared" si="1"/>
        <v>0</v>
      </c>
      <c r="DR53" s="355">
        <f t="shared" si="0"/>
        <v>1</v>
      </c>
      <c r="DW53" s="175">
        <v>53</v>
      </c>
    </row>
    <row r="54" spans="1:127" ht="18" customHeight="1" x14ac:dyDescent="0.3">
      <c r="A54" s="309">
        <f>ปพ.5!$A$54</f>
        <v>49</v>
      </c>
      <c r="B54" s="322">
        <f>ปพ.5!$B$54</f>
        <v>0</v>
      </c>
      <c r="C54" s="352">
        <f>ปพ.5!$C$54</f>
        <v>0</v>
      </c>
      <c r="D54" s="582">
        <f>ปพ.5!$D$54</f>
        <v>0</v>
      </c>
      <c r="E54" s="583"/>
      <c r="F54" s="584"/>
      <c r="G54" s="311"/>
      <c r="H54" s="312"/>
      <c r="I54" s="312"/>
      <c r="J54" s="312"/>
      <c r="K54" s="313"/>
      <c r="L54" s="314"/>
      <c r="M54" s="312"/>
      <c r="N54" s="312"/>
      <c r="O54" s="312"/>
      <c r="P54" s="315"/>
      <c r="Q54" s="314"/>
      <c r="R54" s="312"/>
      <c r="S54" s="312"/>
      <c r="T54" s="312"/>
      <c r="U54" s="315"/>
      <c r="V54" s="314"/>
      <c r="W54" s="312"/>
      <c r="X54" s="312"/>
      <c r="Y54" s="312"/>
      <c r="Z54" s="315"/>
      <c r="AA54" s="314"/>
      <c r="AB54" s="312"/>
      <c r="AC54" s="312"/>
      <c r="AD54" s="312"/>
      <c r="AE54" s="315"/>
      <c r="AF54" s="314"/>
      <c r="AG54" s="312"/>
      <c r="AH54" s="312"/>
      <c r="AI54" s="312"/>
      <c r="AJ54" s="315"/>
      <c r="AK54" s="314"/>
      <c r="AL54" s="312"/>
      <c r="AM54" s="312"/>
      <c r="AN54" s="312"/>
      <c r="AO54" s="315"/>
      <c r="AP54" s="314"/>
      <c r="AQ54" s="312"/>
      <c r="AR54" s="312"/>
      <c r="AS54" s="312"/>
      <c r="AT54" s="315"/>
      <c r="AU54" s="314"/>
      <c r="AV54" s="312"/>
      <c r="AW54" s="312"/>
      <c r="AX54" s="312"/>
      <c r="AY54" s="315"/>
      <c r="AZ54" s="314"/>
      <c r="BA54" s="312"/>
      <c r="BB54" s="312"/>
      <c r="BC54" s="312"/>
      <c r="BD54" s="315"/>
      <c r="BE54" s="314"/>
      <c r="BF54" s="312"/>
      <c r="BG54" s="312"/>
      <c r="BH54" s="312"/>
      <c r="BI54" s="315"/>
      <c r="BJ54" s="314"/>
      <c r="BK54" s="312"/>
      <c r="BL54" s="312"/>
      <c r="BM54" s="312"/>
      <c r="BN54" s="315"/>
      <c r="BO54" s="314"/>
      <c r="BP54" s="312"/>
      <c r="BQ54" s="312"/>
      <c r="BR54" s="312"/>
      <c r="BS54" s="315"/>
      <c r="BT54" s="314"/>
      <c r="BU54" s="312"/>
      <c r="BV54" s="312"/>
      <c r="BW54" s="312"/>
      <c r="BX54" s="315"/>
      <c r="BY54" s="314"/>
      <c r="BZ54" s="312"/>
      <c r="CA54" s="312"/>
      <c r="CB54" s="312"/>
      <c r="CC54" s="315"/>
      <c r="CD54" s="314"/>
      <c r="CE54" s="312"/>
      <c r="CF54" s="312"/>
      <c r="CG54" s="312"/>
      <c r="CH54" s="315"/>
      <c r="CI54" s="314"/>
      <c r="CJ54" s="312"/>
      <c r="CK54" s="312"/>
      <c r="CL54" s="312"/>
      <c r="CM54" s="315"/>
      <c r="CN54" s="314"/>
      <c r="CO54" s="312"/>
      <c r="CP54" s="312"/>
      <c r="CQ54" s="312"/>
      <c r="CR54" s="315"/>
      <c r="CS54" s="314"/>
      <c r="CT54" s="312"/>
      <c r="CU54" s="312"/>
      <c r="CV54" s="312"/>
      <c r="CW54" s="315"/>
      <c r="CX54" s="314"/>
      <c r="CY54" s="312"/>
      <c r="CZ54" s="312"/>
      <c r="DA54" s="312"/>
      <c r="DB54" s="313"/>
      <c r="DC54" s="314"/>
      <c r="DD54" s="312"/>
      <c r="DE54" s="312"/>
      <c r="DF54" s="312"/>
      <c r="DG54" s="313"/>
      <c r="DH54" s="314"/>
      <c r="DI54" s="312"/>
      <c r="DJ54" s="312"/>
      <c r="DK54" s="312"/>
      <c r="DL54" s="313"/>
      <c r="DM54" s="305">
        <f>COUNTIF($G$54:$DL$54,"/")</f>
        <v>0</v>
      </c>
      <c r="DN54" s="305">
        <f>COUNTIF($G$54:$DL$54,"ป")</f>
        <v>0</v>
      </c>
      <c r="DO54" s="305">
        <f>COUNTIF($G$54:$DL$54,"ล")</f>
        <v>0</v>
      </c>
      <c r="DP54" s="305">
        <f>COUNTIF($G$54:$DL$54,"ข")</f>
        <v>0</v>
      </c>
      <c r="DQ54" s="304">
        <f t="shared" si="1"/>
        <v>0</v>
      </c>
      <c r="DR54" s="355">
        <f t="shared" si="0"/>
        <v>1</v>
      </c>
      <c r="DW54" s="175">
        <v>54</v>
      </c>
    </row>
    <row r="55" spans="1:127" ht="18" customHeight="1" thickBot="1" x14ac:dyDescent="0.35">
      <c r="A55" s="310">
        <f>ปพ.5!$A$55</f>
        <v>50</v>
      </c>
      <c r="B55" s="323">
        <f>ปพ.5!$B$55</f>
        <v>0</v>
      </c>
      <c r="C55" s="353">
        <f>ปพ.5!$C$55</f>
        <v>0</v>
      </c>
      <c r="D55" s="594">
        <f>ปพ.5!$D$55</f>
        <v>0</v>
      </c>
      <c r="E55" s="595"/>
      <c r="F55" s="596"/>
      <c r="G55" s="316"/>
      <c r="H55" s="317"/>
      <c r="I55" s="317"/>
      <c r="J55" s="317"/>
      <c r="K55" s="318"/>
      <c r="L55" s="319"/>
      <c r="M55" s="317"/>
      <c r="N55" s="317"/>
      <c r="O55" s="317"/>
      <c r="P55" s="320"/>
      <c r="Q55" s="319"/>
      <c r="R55" s="317"/>
      <c r="S55" s="317"/>
      <c r="T55" s="317"/>
      <c r="U55" s="320"/>
      <c r="V55" s="319"/>
      <c r="W55" s="317"/>
      <c r="X55" s="317"/>
      <c r="Y55" s="317"/>
      <c r="Z55" s="320"/>
      <c r="AA55" s="319"/>
      <c r="AB55" s="317"/>
      <c r="AC55" s="317"/>
      <c r="AD55" s="317"/>
      <c r="AE55" s="320"/>
      <c r="AF55" s="319"/>
      <c r="AG55" s="317"/>
      <c r="AH55" s="317"/>
      <c r="AI55" s="317"/>
      <c r="AJ55" s="320"/>
      <c r="AK55" s="319"/>
      <c r="AL55" s="317"/>
      <c r="AM55" s="317"/>
      <c r="AN55" s="317"/>
      <c r="AO55" s="320"/>
      <c r="AP55" s="319"/>
      <c r="AQ55" s="317"/>
      <c r="AR55" s="317"/>
      <c r="AS55" s="317"/>
      <c r="AT55" s="320"/>
      <c r="AU55" s="319"/>
      <c r="AV55" s="317"/>
      <c r="AW55" s="317"/>
      <c r="AX55" s="317"/>
      <c r="AY55" s="320"/>
      <c r="AZ55" s="319"/>
      <c r="BA55" s="317"/>
      <c r="BB55" s="317"/>
      <c r="BC55" s="317"/>
      <c r="BD55" s="320"/>
      <c r="BE55" s="319"/>
      <c r="BF55" s="317"/>
      <c r="BG55" s="317"/>
      <c r="BH55" s="317"/>
      <c r="BI55" s="320"/>
      <c r="BJ55" s="319"/>
      <c r="BK55" s="317"/>
      <c r="BL55" s="317"/>
      <c r="BM55" s="317"/>
      <c r="BN55" s="320"/>
      <c r="BO55" s="319"/>
      <c r="BP55" s="317"/>
      <c r="BQ55" s="317"/>
      <c r="BR55" s="317"/>
      <c r="BS55" s="320"/>
      <c r="BT55" s="319"/>
      <c r="BU55" s="317"/>
      <c r="BV55" s="317"/>
      <c r="BW55" s="317"/>
      <c r="BX55" s="320"/>
      <c r="BY55" s="319"/>
      <c r="BZ55" s="317"/>
      <c r="CA55" s="317"/>
      <c r="CB55" s="317"/>
      <c r="CC55" s="320"/>
      <c r="CD55" s="319"/>
      <c r="CE55" s="317"/>
      <c r="CF55" s="317"/>
      <c r="CG55" s="317"/>
      <c r="CH55" s="320"/>
      <c r="CI55" s="319"/>
      <c r="CJ55" s="317"/>
      <c r="CK55" s="317"/>
      <c r="CL55" s="317"/>
      <c r="CM55" s="320"/>
      <c r="CN55" s="319"/>
      <c r="CO55" s="317"/>
      <c r="CP55" s="317"/>
      <c r="CQ55" s="317"/>
      <c r="CR55" s="320"/>
      <c r="CS55" s="319"/>
      <c r="CT55" s="317"/>
      <c r="CU55" s="317"/>
      <c r="CV55" s="317"/>
      <c r="CW55" s="320"/>
      <c r="CX55" s="319"/>
      <c r="CY55" s="317"/>
      <c r="CZ55" s="317"/>
      <c r="DA55" s="317"/>
      <c r="DB55" s="318"/>
      <c r="DC55" s="319"/>
      <c r="DD55" s="317"/>
      <c r="DE55" s="317"/>
      <c r="DF55" s="317"/>
      <c r="DG55" s="318"/>
      <c r="DH55" s="319"/>
      <c r="DI55" s="317"/>
      <c r="DJ55" s="317"/>
      <c r="DK55" s="317"/>
      <c r="DL55" s="318"/>
      <c r="DM55" s="305">
        <f>COUNTIF($G$55:$DL$55,"/")</f>
        <v>0</v>
      </c>
      <c r="DN55" s="307">
        <f>COUNTIF($G$55:$DL$55,"ป")</f>
        <v>0</v>
      </c>
      <c r="DO55" s="307">
        <f>COUNTIF($G$55:$DL$55,"ล")</f>
        <v>0</v>
      </c>
      <c r="DP55" s="307">
        <f>COUNTIF($G$55:$DL$55,"ข")</f>
        <v>0</v>
      </c>
      <c r="DQ55" s="304">
        <f t="shared" si="1"/>
        <v>0</v>
      </c>
      <c r="DR55" s="355">
        <f t="shared" si="0"/>
        <v>1</v>
      </c>
      <c r="DW55" s="175">
        <v>55</v>
      </c>
    </row>
    <row r="56" spans="1:127" x14ac:dyDescent="0.3">
      <c r="A56" s="135"/>
      <c r="B56" s="135"/>
      <c r="C56" s="136"/>
      <c r="D56" s="137"/>
      <c r="DW56" s="175">
        <v>56</v>
      </c>
    </row>
    <row r="57" spans="1:127" x14ac:dyDescent="0.3">
      <c r="A57" s="135"/>
      <c r="B57" s="135"/>
      <c r="C57" s="136"/>
      <c r="D57" s="137"/>
      <c r="DW57" s="175">
        <v>57</v>
      </c>
    </row>
    <row r="58" spans="1:127" x14ac:dyDescent="0.3">
      <c r="A58" s="138"/>
      <c r="B58" s="138"/>
      <c r="C58" s="138"/>
      <c r="D58" s="138"/>
      <c r="DW58" s="175">
        <v>58</v>
      </c>
    </row>
    <row r="59" spans="1:127" x14ac:dyDescent="0.3">
      <c r="A59" s="138"/>
      <c r="B59" s="138"/>
      <c r="C59" s="138"/>
      <c r="D59" s="138"/>
      <c r="DW59" s="175">
        <v>59</v>
      </c>
    </row>
    <row r="60" spans="1:127" x14ac:dyDescent="0.3">
      <c r="A60" s="138"/>
      <c r="B60" s="138"/>
      <c r="C60" s="138"/>
      <c r="D60" s="138"/>
      <c r="DW60" s="175">
        <v>60</v>
      </c>
    </row>
    <row r="61" spans="1:127" x14ac:dyDescent="0.3">
      <c r="A61" s="138"/>
      <c r="B61" s="138"/>
      <c r="C61" s="138"/>
      <c r="D61" s="138"/>
      <c r="DW61" s="175">
        <v>61</v>
      </c>
    </row>
    <row r="62" spans="1:127" x14ac:dyDescent="0.3">
      <c r="A62" s="138"/>
      <c r="B62" s="138"/>
      <c r="C62" s="138"/>
      <c r="D62" s="138"/>
      <c r="DW62" s="175">
        <v>62</v>
      </c>
    </row>
    <row r="63" spans="1:127" x14ac:dyDescent="0.3">
      <c r="A63" s="138"/>
      <c r="B63" s="138"/>
      <c r="C63" s="138"/>
      <c r="D63" s="138"/>
      <c r="DW63" s="175">
        <v>63</v>
      </c>
    </row>
    <row r="64" spans="1:127" x14ac:dyDescent="0.3">
      <c r="A64" s="138"/>
      <c r="B64" s="138"/>
      <c r="C64" s="138"/>
      <c r="D64" s="138"/>
      <c r="DW64" s="175">
        <v>64</v>
      </c>
    </row>
    <row r="65" spans="1:127" x14ac:dyDescent="0.3">
      <c r="A65" s="138"/>
      <c r="B65" s="138"/>
      <c r="C65" s="138"/>
      <c r="D65" s="138"/>
      <c r="DW65" s="175">
        <v>65</v>
      </c>
    </row>
    <row r="66" spans="1:127" x14ac:dyDescent="0.3">
      <c r="A66" s="138"/>
      <c r="B66" s="138"/>
      <c r="C66" s="138"/>
      <c r="D66" s="138"/>
      <c r="DW66" s="175">
        <v>66</v>
      </c>
    </row>
    <row r="67" spans="1:127" x14ac:dyDescent="0.3">
      <c r="A67" s="138"/>
      <c r="B67" s="138"/>
      <c r="C67" s="138"/>
      <c r="D67" s="138"/>
      <c r="DW67" s="175">
        <v>67</v>
      </c>
    </row>
    <row r="68" spans="1:127" x14ac:dyDescent="0.3">
      <c r="A68" s="138"/>
      <c r="B68" s="138"/>
      <c r="C68" s="138"/>
      <c r="D68" s="138"/>
      <c r="DW68" s="175">
        <v>68</v>
      </c>
    </row>
    <row r="69" spans="1:127" x14ac:dyDescent="0.3">
      <c r="A69" s="138"/>
      <c r="B69" s="138"/>
      <c r="C69" s="138"/>
      <c r="D69" s="138"/>
      <c r="DW69" s="175">
        <v>69</v>
      </c>
    </row>
    <row r="70" spans="1:127" x14ac:dyDescent="0.3">
      <c r="A70" s="138"/>
      <c r="B70" s="138"/>
      <c r="C70" s="138"/>
      <c r="D70" s="138"/>
      <c r="DW70" s="175">
        <v>70</v>
      </c>
    </row>
    <row r="71" spans="1:127" x14ac:dyDescent="0.3">
      <c r="A71" s="138"/>
      <c r="B71" s="138"/>
      <c r="C71" s="138"/>
      <c r="D71" s="138"/>
      <c r="DW71" s="175">
        <v>71</v>
      </c>
    </row>
    <row r="72" spans="1:127" x14ac:dyDescent="0.3">
      <c r="A72" s="138"/>
      <c r="B72" s="138"/>
      <c r="C72" s="138"/>
      <c r="D72" s="138"/>
      <c r="DW72" s="175">
        <v>72</v>
      </c>
    </row>
    <row r="73" spans="1:127" x14ac:dyDescent="0.3">
      <c r="A73" s="138"/>
      <c r="B73" s="138"/>
      <c r="C73" s="138"/>
      <c r="D73" s="138"/>
      <c r="DW73" s="175">
        <v>73</v>
      </c>
    </row>
    <row r="74" spans="1:127" x14ac:dyDescent="0.3">
      <c r="A74" s="138"/>
      <c r="B74" s="138"/>
      <c r="C74" s="138"/>
      <c r="D74" s="138"/>
      <c r="DW74" s="175">
        <v>74</v>
      </c>
    </row>
    <row r="75" spans="1:127" x14ac:dyDescent="0.3">
      <c r="A75" s="138"/>
      <c r="B75" s="138"/>
      <c r="C75" s="138"/>
      <c r="D75" s="138"/>
      <c r="DW75" s="175">
        <v>75</v>
      </c>
    </row>
    <row r="76" spans="1:127" x14ac:dyDescent="0.3">
      <c r="A76" s="138"/>
      <c r="B76" s="138"/>
      <c r="C76" s="138"/>
      <c r="D76" s="138"/>
      <c r="DW76" s="175">
        <v>76</v>
      </c>
    </row>
    <row r="77" spans="1:127" x14ac:dyDescent="0.3">
      <c r="A77" s="138"/>
      <c r="B77" s="138"/>
      <c r="C77" s="138"/>
      <c r="D77" s="138"/>
      <c r="DW77" s="175">
        <v>77</v>
      </c>
    </row>
    <row r="78" spans="1:127" x14ac:dyDescent="0.3">
      <c r="A78" s="138"/>
      <c r="B78" s="138"/>
      <c r="C78" s="138"/>
      <c r="D78" s="138"/>
      <c r="DW78" s="175">
        <v>78</v>
      </c>
    </row>
    <row r="79" spans="1:127" x14ac:dyDescent="0.3">
      <c r="A79" s="138"/>
      <c r="B79" s="138"/>
      <c r="C79" s="138"/>
      <c r="D79" s="138"/>
      <c r="DW79" s="175">
        <v>79</v>
      </c>
    </row>
    <row r="80" spans="1:127" x14ac:dyDescent="0.3">
      <c r="A80" s="138"/>
      <c r="B80" s="138"/>
      <c r="C80" s="138"/>
      <c r="D80" s="138"/>
      <c r="DW80" s="175">
        <v>80</v>
      </c>
    </row>
    <row r="81" spans="1:127" x14ac:dyDescent="0.3">
      <c r="A81" s="138"/>
      <c r="B81" s="138"/>
      <c r="C81" s="138"/>
      <c r="D81" s="138"/>
      <c r="DW81" s="175">
        <v>81</v>
      </c>
    </row>
    <row r="82" spans="1:127" x14ac:dyDescent="0.3">
      <c r="A82" s="138"/>
      <c r="B82" s="138"/>
      <c r="C82" s="138"/>
      <c r="D82" s="138"/>
      <c r="DW82" s="175">
        <v>82</v>
      </c>
    </row>
    <row r="83" spans="1:127" x14ac:dyDescent="0.3">
      <c r="A83" s="138"/>
      <c r="B83" s="138"/>
      <c r="C83" s="138"/>
      <c r="D83" s="138"/>
      <c r="DW83" s="175">
        <v>83</v>
      </c>
    </row>
    <row r="84" spans="1:127" x14ac:dyDescent="0.3">
      <c r="A84" s="138"/>
      <c r="B84" s="138"/>
      <c r="C84" s="138"/>
      <c r="D84" s="138"/>
      <c r="DW84" s="175">
        <v>84</v>
      </c>
    </row>
    <row r="85" spans="1:127" x14ac:dyDescent="0.3">
      <c r="A85" s="138"/>
      <c r="B85" s="138"/>
      <c r="C85" s="138"/>
      <c r="D85" s="138"/>
      <c r="DW85" s="175">
        <v>85</v>
      </c>
    </row>
    <row r="86" spans="1:127" x14ac:dyDescent="0.3">
      <c r="A86" s="138"/>
      <c r="B86" s="138"/>
      <c r="C86" s="138"/>
      <c r="D86" s="138"/>
      <c r="DW86" s="175">
        <v>86</v>
      </c>
    </row>
    <row r="87" spans="1:127" x14ac:dyDescent="0.3">
      <c r="A87" s="138"/>
      <c r="B87" s="138"/>
      <c r="C87" s="138"/>
      <c r="D87" s="138"/>
      <c r="DW87" s="175">
        <v>87</v>
      </c>
    </row>
    <row r="88" spans="1:127" x14ac:dyDescent="0.3">
      <c r="A88" s="138"/>
      <c r="B88" s="138"/>
      <c r="C88" s="138"/>
      <c r="D88" s="138"/>
      <c r="DW88" s="175">
        <v>88</v>
      </c>
    </row>
    <row r="89" spans="1:127" x14ac:dyDescent="0.3">
      <c r="A89" s="138"/>
      <c r="B89" s="138"/>
      <c r="C89" s="138"/>
      <c r="D89" s="138"/>
      <c r="DW89" s="175">
        <v>89</v>
      </c>
    </row>
    <row r="90" spans="1:127" x14ac:dyDescent="0.3">
      <c r="A90" s="138"/>
      <c r="B90" s="138"/>
      <c r="C90" s="138"/>
      <c r="D90" s="138"/>
      <c r="DW90" s="175">
        <v>90</v>
      </c>
    </row>
    <row r="91" spans="1:127" x14ac:dyDescent="0.3">
      <c r="A91" s="138"/>
      <c r="B91" s="138"/>
      <c r="C91" s="138"/>
      <c r="D91" s="138"/>
      <c r="DW91" s="175">
        <v>91</v>
      </c>
    </row>
    <row r="92" spans="1:127" x14ac:dyDescent="0.3">
      <c r="A92" s="138"/>
      <c r="B92" s="138"/>
      <c r="C92" s="138"/>
      <c r="D92" s="138"/>
      <c r="DW92" s="175">
        <v>92</v>
      </c>
    </row>
    <row r="93" spans="1:127" x14ac:dyDescent="0.3">
      <c r="A93" s="138"/>
      <c r="B93" s="138"/>
      <c r="C93" s="138"/>
      <c r="D93" s="138"/>
      <c r="DW93" s="175">
        <v>93</v>
      </c>
    </row>
    <row r="94" spans="1:127" x14ac:dyDescent="0.3">
      <c r="A94" s="138"/>
      <c r="B94" s="138"/>
      <c r="C94" s="138"/>
      <c r="D94" s="138"/>
      <c r="DW94" s="175">
        <v>94</v>
      </c>
    </row>
    <row r="95" spans="1:127" x14ac:dyDescent="0.3">
      <c r="A95" s="138"/>
      <c r="B95" s="138"/>
      <c r="C95" s="138"/>
      <c r="D95" s="138"/>
      <c r="DW95" s="175">
        <v>95</v>
      </c>
    </row>
    <row r="96" spans="1:127" x14ac:dyDescent="0.3">
      <c r="A96" s="138"/>
      <c r="B96" s="138"/>
      <c r="C96" s="138"/>
      <c r="D96" s="138"/>
      <c r="DW96" s="175">
        <v>96</v>
      </c>
    </row>
    <row r="97" spans="1:127" x14ac:dyDescent="0.3">
      <c r="A97" s="138"/>
      <c r="B97" s="138"/>
      <c r="C97" s="138"/>
      <c r="D97" s="138"/>
      <c r="DW97" s="175">
        <v>97</v>
      </c>
    </row>
    <row r="98" spans="1:127" x14ac:dyDescent="0.3">
      <c r="A98" s="138"/>
      <c r="B98" s="138"/>
      <c r="C98" s="138"/>
      <c r="D98" s="138"/>
      <c r="DW98" s="175">
        <v>98</v>
      </c>
    </row>
    <row r="99" spans="1:127" x14ac:dyDescent="0.3">
      <c r="A99" s="138"/>
      <c r="B99" s="138"/>
      <c r="C99" s="138"/>
      <c r="D99" s="138"/>
      <c r="DW99" s="175">
        <v>99</v>
      </c>
    </row>
    <row r="100" spans="1:127" x14ac:dyDescent="0.3">
      <c r="A100" s="138"/>
      <c r="B100" s="138"/>
      <c r="C100" s="138"/>
      <c r="D100" s="138"/>
      <c r="DW100" s="175">
        <v>100</v>
      </c>
    </row>
    <row r="101" spans="1:127" x14ac:dyDescent="0.3">
      <c r="A101" s="138"/>
      <c r="B101" s="138"/>
      <c r="C101" s="138"/>
      <c r="D101" s="138"/>
      <c r="DW101" s="175">
        <v>101</v>
      </c>
    </row>
    <row r="102" spans="1:127" x14ac:dyDescent="0.3">
      <c r="A102" s="138"/>
      <c r="B102" s="138"/>
      <c r="C102" s="138"/>
      <c r="D102" s="138"/>
      <c r="DW102" s="175">
        <v>102</v>
      </c>
    </row>
    <row r="103" spans="1:127" x14ac:dyDescent="0.3">
      <c r="A103" s="138"/>
      <c r="B103" s="138"/>
      <c r="C103" s="138"/>
      <c r="D103" s="138"/>
      <c r="DW103" s="175">
        <v>103</v>
      </c>
    </row>
    <row r="104" spans="1:127" x14ac:dyDescent="0.3">
      <c r="A104" s="138"/>
      <c r="B104" s="138"/>
      <c r="C104" s="138"/>
      <c r="D104" s="138"/>
      <c r="DW104" s="175">
        <v>104</v>
      </c>
    </row>
    <row r="105" spans="1:127" x14ac:dyDescent="0.3">
      <c r="A105" s="138"/>
      <c r="B105" s="138"/>
      <c r="C105" s="138"/>
      <c r="D105" s="138"/>
      <c r="DW105" s="175">
        <v>105</v>
      </c>
    </row>
    <row r="106" spans="1:127" x14ac:dyDescent="0.3">
      <c r="A106" s="138"/>
      <c r="B106" s="138"/>
      <c r="C106" s="138"/>
      <c r="D106" s="138"/>
      <c r="DW106" s="175">
        <v>106</v>
      </c>
    </row>
    <row r="107" spans="1:127" x14ac:dyDescent="0.3">
      <c r="A107" s="138"/>
      <c r="B107" s="138"/>
      <c r="C107" s="138"/>
      <c r="D107" s="138"/>
      <c r="DW107" s="175">
        <v>107</v>
      </c>
    </row>
    <row r="108" spans="1:127" x14ac:dyDescent="0.3">
      <c r="A108" s="138"/>
      <c r="B108" s="138"/>
      <c r="C108" s="138"/>
      <c r="D108" s="138"/>
      <c r="DW108" s="175">
        <v>108</v>
      </c>
    </row>
    <row r="109" spans="1:127" x14ac:dyDescent="0.3">
      <c r="A109" s="138"/>
      <c r="B109" s="138"/>
      <c r="C109" s="138"/>
      <c r="D109" s="138"/>
      <c r="DW109" s="175">
        <v>109</v>
      </c>
    </row>
    <row r="110" spans="1:127" x14ac:dyDescent="0.3">
      <c r="A110" s="138"/>
      <c r="B110" s="138"/>
      <c r="C110" s="138"/>
      <c r="D110" s="138"/>
      <c r="DW110" s="175">
        <v>110</v>
      </c>
    </row>
    <row r="111" spans="1:127" x14ac:dyDescent="0.3">
      <c r="A111" s="138"/>
      <c r="B111" s="138"/>
      <c r="C111" s="138"/>
      <c r="D111" s="138"/>
    </row>
    <row r="112" spans="1:127" x14ac:dyDescent="0.3">
      <c r="A112" s="138"/>
      <c r="B112" s="138"/>
      <c r="C112" s="138"/>
      <c r="D112" s="138"/>
    </row>
    <row r="113" spans="1:4" x14ac:dyDescent="0.3">
      <c r="A113" s="138"/>
      <c r="B113" s="138"/>
      <c r="C113" s="138"/>
      <c r="D113" s="138"/>
    </row>
    <row r="114" spans="1:4" x14ac:dyDescent="0.3">
      <c r="A114" s="138"/>
      <c r="B114" s="138"/>
      <c r="C114" s="138"/>
      <c r="D114" s="138"/>
    </row>
    <row r="115" spans="1:4" x14ac:dyDescent="0.3">
      <c r="A115" s="138"/>
      <c r="B115" s="138"/>
      <c r="C115" s="138"/>
      <c r="D115" s="138"/>
    </row>
    <row r="116" spans="1:4" x14ac:dyDescent="0.3">
      <c r="A116" s="138"/>
      <c r="B116" s="138"/>
      <c r="C116" s="138"/>
      <c r="D116" s="138"/>
    </row>
    <row r="117" spans="1:4" x14ac:dyDescent="0.3">
      <c r="A117" s="138"/>
      <c r="B117" s="138"/>
      <c r="C117" s="138"/>
      <c r="D117" s="138"/>
    </row>
    <row r="118" spans="1:4" x14ac:dyDescent="0.3">
      <c r="A118" s="138"/>
      <c r="B118" s="138"/>
      <c r="C118" s="138"/>
      <c r="D118" s="138"/>
    </row>
    <row r="119" spans="1:4" x14ac:dyDescent="0.3">
      <c r="A119" s="138"/>
      <c r="B119" s="138"/>
      <c r="C119" s="138"/>
      <c r="D119" s="138"/>
    </row>
    <row r="120" spans="1:4" x14ac:dyDescent="0.3">
      <c r="A120" s="138"/>
      <c r="B120" s="138"/>
      <c r="C120" s="138"/>
      <c r="D120" s="138"/>
    </row>
    <row r="121" spans="1:4" x14ac:dyDescent="0.3">
      <c r="A121" s="138"/>
      <c r="B121" s="138"/>
      <c r="C121" s="138"/>
      <c r="D121" s="138"/>
    </row>
    <row r="122" spans="1:4" x14ac:dyDescent="0.3">
      <c r="A122" s="138"/>
      <c r="B122" s="138"/>
      <c r="C122" s="138"/>
      <c r="D122" s="138"/>
    </row>
    <row r="123" spans="1:4" x14ac:dyDescent="0.3">
      <c r="A123" s="138"/>
      <c r="B123" s="138"/>
      <c r="C123" s="138"/>
      <c r="D123" s="138"/>
    </row>
    <row r="124" spans="1:4" x14ac:dyDescent="0.3">
      <c r="A124" s="138"/>
      <c r="B124" s="138"/>
      <c r="C124" s="138"/>
      <c r="D124" s="138"/>
    </row>
    <row r="125" spans="1:4" x14ac:dyDescent="0.3">
      <c r="A125" s="138"/>
      <c r="B125" s="138"/>
      <c r="C125" s="138"/>
      <c r="D125" s="138"/>
    </row>
    <row r="126" spans="1:4" x14ac:dyDescent="0.3">
      <c r="A126" s="138"/>
      <c r="B126" s="138"/>
      <c r="C126" s="138"/>
      <c r="D126" s="138"/>
    </row>
    <row r="127" spans="1:4" x14ac:dyDescent="0.3">
      <c r="A127" s="138"/>
      <c r="B127" s="138"/>
      <c r="C127" s="138"/>
      <c r="D127" s="138"/>
    </row>
    <row r="128" spans="1:4" x14ac:dyDescent="0.3">
      <c r="A128" s="138"/>
      <c r="B128" s="138"/>
      <c r="C128" s="138"/>
      <c r="D128" s="138"/>
    </row>
    <row r="129" spans="1:4" x14ac:dyDescent="0.3">
      <c r="A129" s="138"/>
      <c r="B129" s="138"/>
      <c r="C129" s="138"/>
      <c r="D129" s="138"/>
    </row>
    <row r="130" spans="1:4" x14ac:dyDescent="0.3">
      <c r="A130" s="138"/>
      <c r="B130" s="138"/>
      <c r="C130" s="138"/>
      <c r="D130" s="138"/>
    </row>
    <row r="131" spans="1:4" x14ac:dyDescent="0.3">
      <c r="A131" s="138"/>
      <c r="B131" s="138"/>
      <c r="C131" s="138"/>
      <c r="D131" s="138"/>
    </row>
    <row r="132" spans="1:4" x14ac:dyDescent="0.3">
      <c r="A132" s="138"/>
      <c r="B132" s="138"/>
      <c r="C132" s="138"/>
      <c r="D132" s="138"/>
    </row>
    <row r="133" spans="1:4" x14ac:dyDescent="0.3">
      <c r="A133" s="138"/>
      <c r="B133" s="138"/>
      <c r="C133" s="138"/>
      <c r="D133" s="138"/>
    </row>
    <row r="134" spans="1:4" x14ac:dyDescent="0.3">
      <c r="A134" s="138"/>
      <c r="B134" s="138"/>
      <c r="C134" s="138"/>
      <c r="D134" s="138"/>
    </row>
    <row r="135" spans="1:4" x14ac:dyDescent="0.3">
      <c r="A135" s="138"/>
      <c r="B135" s="138"/>
      <c r="C135" s="138"/>
      <c r="D135" s="138"/>
    </row>
    <row r="136" spans="1:4" x14ac:dyDescent="0.3">
      <c r="A136" s="138"/>
      <c r="B136" s="138"/>
      <c r="C136" s="138"/>
      <c r="D136" s="138"/>
    </row>
    <row r="137" spans="1:4" x14ac:dyDescent="0.3">
      <c r="A137" s="138"/>
      <c r="B137" s="138"/>
      <c r="C137" s="138"/>
      <c r="D137" s="138"/>
    </row>
    <row r="138" spans="1:4" x14ac:dyDescent="0.3">
      <c r="A138" s="138"/>
      <c r="B138" s="138"/>
      <c r="C138" s="138"/>
      <c r="D138" s="138"/>
    </row>
    <row r="139" spans="1:4" x14ac:dyDescent="0.3">
      <c r="A139" s="138"/>
      <c r="B139" s="138"/>
      <c r="C139" s="138"/>
      <c r="D139" s="138"/>
    </row>
    <row r="140" spans="1:4" x14ac:dyDescent="0.3">
      <c r="A140" s="138"/>
      <c r="B140" s="138"/>
      <c r="C140" s="138"/>
      <c r="D140" s="138"/>
    </row>
    <row r="141" spans="1:4" x14ac:dyDescent="0.3">
      <c r="A141" s="138"/>
      <c r="B141" s="138"/>
      <c r="C141" s="138"/>
      <c r="D141" s="138"/>
    </row>
    <row r="142" spans="1:4" x14ac:dyDescent="0.3">
      <c r="A142" s="138"/>
      <c r="B142" s="138"/>
      <c r="C142" s="138"/>
      <c r="D142" s="138"/>
    </row>
    <row r="143" spans="1:4" x14ac:dyDescent="0.3">
      <c r="A143" s="138"/>
      <c r="B143" s="138"/>
      <c r="C143" s="138"/>
      <c r="D143" s="138"/>
    </row>
    <row r="144" spans="1:4" x14ac:dyDescent="0.3">
      <c r="A144" s="138"/>
      <c r="B144" s="138"/>
      <c r="C144" s="138"/>
      <c r="D144" s="138"/>
    </row>
    <row r="145" spans="1:4" x14ac:dyDescent="0.3">
      <c r="A145" s="138"/>
      <c r="B145" s="138"/>
      <c r="C145" s="138"/>
      <c r="D145" s="138"/>
    </row>
    <row r="146" spans="1:4" x14ac:dyDescent="0.3">
      <c r="A146" s="138"/>
      <c r="B146" s="138"/>
      <c r="C146" s="138"/>
      <c r="D146" s="138"/>
    </row>
    <row r="147" spans="1:4" x14ac:dyDescent="0.3">
      <c r="A147" s="138"/>
      <c r="B147" s="138"/>
      <c r="C147" s="138"/>
      <c r="D147" s="138"/>
    </row>
    <row r="148" spans="1:4" x14ac:dyDescent="0.3">
      <c r="A148" s="138"/>
      <c r="B148" s="138"/>
      <c r="C148" s="138"/>
      <c r="D148" s="138"/>
    </row>
    <row r="149" spans="1:4" x14ac:dyDescent="0.3">
      <c r="A149" s="138"/>
      <c r="B149" s="138"/>
      <c r="C149" s="138"/>
      <c r="D149" s="138"/>
    </row>
    <row r="150" spans="1:4" x14ac:dyDescent="0.3">
      <c r="A150" s="138"/>
      <c r="B150" s="138"/>
      <c r="C150" s="138"/>
      <c r="D150" s="138"/>
    </row>
    <row r="151" spans="1:4" x14ac:dyDescent="0.3">
      <c r="A151" s="138"/>
      <c r="B151" s="138"/>
      <c r="C151" s="138"/>
      <c r="D151" s="138"/>
    </row>
    <row r="152" spans="1:4" x14ac:dyDescent="0.3">
      <c r="A152" s="138"/>
      <c r="B152" s="138"/>
      <c r="C152" s="138"/>
      <c r="D152" s="138"/>
    </row>
    <row r="153" spans="1:4" x14ac:dyDescent="0.3">
      <c r="A153" s="138"/>
      <c r="B153" s="138"/>
      <c r="C153" s="138"/>
      <c r="D153" s="138"/>
    </row>
    <row r="154" spans="1:4" x14ac:dyDescent="0.3">
      <c r="A154" s="138"/>
      <c r="B154" s="138"/>
      <c r="C154" s="138"/>
      <c r="D154" s="138"/>
    </row>
    <row r="155" spans="1:4" x14ac:dyDescent="0.3">
      <c r="A155" s="138"/>
      <c r="B155" s="138"/>
      <c r="C155" s="138"/>
      <c r="D155" s="138"/>
    </row>
    <row r="156" spans="1:4" x14ac:dyDescent="0.3">
      <c r="A156" s="138"/>
      <c r="B156" s="138"/>
      <c r="C156" s="138"/>
      <c r="D156" s="138"/>
    </row>
    <row r="157" spans="1:4" x14ac:dyDescent="0.3">
      <c r="A157" s="138"/>
      <c r="B157" s="138"/>
      <c r="C157" s="138"/>
      <c r="D157" s="138"/>
    </row>
    <row r="158" spans="1:4" x14ac:dyDescent="0.3">
      <c r="A158" s="138"/>
      <c r="B158" s="138"/>
      <c r="C158" s="138"/>
      <c r="D158" s="138"/>
    </row>
    <row r="159" spans="1:4" x14ac:dyDescent="0.3">
      <c r="A159" s="138"/>
      <c r="B159" s="138"/>
      <c r="C159" s="138"/>
      <c r="D159" s="138"/>
    </row>
    <row r="160" spans="1:4" x14ac:dyDescent="0.3">
      <c r="A160" s="138"/>
      <c r="B160" s="138"/>
      <c r="C160" s="138"/>
      <c r="D160" s="138"/>
    </row>
    <row r="161" spans="1:4" x14ac:dyDescent="0.3">
      <c r="A161" s="138"/>
      <c r="B161" s="138"/>
      <c r="C161" s="138"/>
      <c r="D161" s="138"/>
    </row>
    <row r="162" spans="1:4" x14ac:dyDescent="0.3">
      <c r="A162" s="138"/>
      <c r="B162" s="138"/>
      <c r="C162" s="138"/>
      <c r="D162" s="138"/>
    </row>
    <row r="163" spans="1:4" x14ac:dyDescent="0.3">
      <c r="A163" s="138"/>
      <c r="B163" s="138"/>
      <c r="C163" s="138"/>
      <c r="D163" s="138"/>
    </row>
    <row r="164" spans="1:4" x14ac:dyDescent="0.3">
      <c r="A164" s="138"/>
      <c r="B164" s="138"/>
      <c r="C164" s="138"/>
      <c r="D164" s="138"/>
    </row>
  </sheetData>
  <mergeCells count="109">
    <mergeCell ref="DM1:DQ1"/>
    <mergeCell ref="DR1:DR5"/>
    <mergeCell ref="DC2:DG2"/>
    <mergeCell ref="DH2:DL2"/>
    <mergeCell ref="DM2:DN2"/>
    <mergeCell ref="DP2:DQ2"/>
    <mergeCell ref="DM3:DM5"/>
    <mergeCell ref="DN3:DN5"/>
    <mergeCell ref="DO3:DO5"/>
    <mergeCell ref="DP3:DP5"/>
    <mergeCell ref="DQ3:DQ5"/>
    <mergeCell ref="AF1:AJ1"/>
    <mergeCell ref="AK1:AO1"/>
    <mergeCell ref="AP1:AT1"/>
    <mergeCell ref="AU1:AY1"/>
    <mergeCell ref="AZ1:BD1"/>
    <mergeCell ref="G1:K1"/>
    <mergeCell ref="L1:P1"/>
    <mergeCell ref="Q1:U1"/>
    <mergeCell ref="V1:Z1"/>
    <mergeCell ref="AA1:AE1"/>
    <mergeCell ref="CN2:CR2"/>
    <mergeCell ref="CS2:CW2"/>
    <mergeCell ref="CX2:DB2"/>
    <mergeCell ref="DC1:DG1"/>
    <mergeCell ref="DH1:DL1"/>
    <mergeCell ref="AZ2:BD2"/>
    <mergeCell ref="BE2:BI2"/>
    <mergeCell ref="BJ2:BN2"/>
    <mergeCell ref="BO2:BS2"/>
    <mergeCell ref="BT2:BX2"/>
    <mergeCell ref="CD1:CH1"/>
    <mergeCell ref="CI1:CM1"/>
    <mergeCell ref="CN1:CR1"/>
    <mergeCell ref="CS1:CW1"/>
    <mergeCell ref="CX1:DB1"/>
    <mergeCell ref="BE1:BI1"/>
    <mergeCell ref="BJ1:BN1"/>
    <mergeCell ref="BO1:BS1"/>
    <mergeCell ref="BT1:BX1"/>
    <mergeCell ref="BY1:CC1"/>
    <mergeCell ref="AK2:AO2"/>
    <mergeCell ref="AP2:AT2"/>
    <mergeCell ref="AU2:AY2"/>
    <mergeCell ref="V2:Z2"/>
    <mergeCell ref="AA2:AE2"/>
    <mergeCell ref="AF2:AJ2"/>
    <mergeCell ref="BY2:CC2"/>
    <mergeCell ref="CD2:CH2"/>
    <mergeCell ref="CI2:CM2"/>
    <mergeCell ref="D54:F54"/>
    <mergeCell ref="D55:F55"/>
    <mergeCell ref="G2:K2"/>
    <mergeCell ref="L2:P2"/>
    <mergeCell ref="Q2:U2"/>
    <mergeCell ref="D48:F48"/>
    <mergeCell ref="D49:F49"/>
    <mergeCell ref="D50:F50"/>
    <mergeCell ref="D51:F51"/>
    <mergeCell ref="D52:F52"/>
    <mergeCell ref="D53:F53"/>
    <mergeCell ref="D42:F42"/>
    <mergeCell ref="D43:F43"/>
    <mergeCell ref="D44:F44"/>
    <mergeCell ref="D45:F45"/>
    <mergeCell ref="D46:F46"/>
    <mergeCell ref="D47:F47"/>
    <mergeCell ref="D36:F36"/>
    <mergeCell ref="D37:F37"/>
    <mergeCell ref="D38:F38"/>
    <mergeCell ref="D39:F39"/>
    <mergeCell ref="D40:F40"/>
    <mergeCell ref="D41:F41"/>
    <mergeCell ref="D35:F35"/>
    <mergeCell ref="D33:F33"/>
    <mergeCell ref="D34:F34"/>
    <mergeCell ref="D23:F23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24:F24"/>
    <mergeCell ref="D25:F25"/>
    <mergeCell ref="D26:F26"/>
    <mergeCell ref="D27:F27"/>
    <mergeCell ref="D28:F28"/>
    <mergeCell ref="D29:F29"/>
    <mergeCell ref="D30:F30"/>
    <mergeCell ref="D31:F31"/>
    <mergeCell ref="D32:F32"/>
    <mergeCell ref="A1:B1"/>
    <mergeCell ref="C1:F1"/>
    <mergeCell ref="D6:F6"/>
    <mergeCell ref="D7:F7"/>
    <mergeCell ref="D8:F8"/>
    <mergeCell ref="D9:F9"/>
    <mergeCell ref="D10:F10"/>
    <mergeCell ref="D11:F11"/>
    <mergeCell ref="A2:A5"/>
    <mergeCell ref="B2:B5"/>
    <mergeCell ref="C2:C5"/>
    <mergeCell ref="D2:D5"/>
  </mergeCells>
  <conditionalFormatting sqref="G6:DB55">
    <cfRule type="containsText" dxfId="17" priority="7" operator="containsText" text="ข">
      <formula>NOT(ISERROR(SEARCH("ข",G6)))</formula>
    </cfRule>
    <cfRule type="containsText" dxfId="16" priority="8" operator="containsText" text="ล">
      <formula>NOT(ISERROR(SEARCH("ล",G6)))</formula>
    </cfRule>
    <cfRule type="containsText" dxfId="15" priority="9" operator="containsText" text="ป">
      <formula>NOT(ISERROR(SEARCH("ป",G6)))</formula>
    </cfRule>
  </conditionalFormatting>
  <conditionalFormatting sqref="DC6:DG55">
    <cfRule type="containsText" dxfId="14" priority="4" operator="containsText" text="ข">
      <formula>NOT(ISERROR(SEARCH("ข",DC6)))</formula>
    </cfRule>
    <cfRule type="containsText" dxfId="13" priority="5" operator="containsText" text="ล">
      <formula>NOT(ISERROR(SEARCH("ล",DC6)))</formula>
    </cfRule>
    <cfRule type="containsText" dxfId="12" priority="6" operator="containsText" text="ป">
      <formula>NOT(ISERROR(SEARCH("ป",DC6)))</formula>
    </cfRule>
  </conditionalFormatting>
  <conditionalFormatting sqref="DH6:DL55">
    <cfRule type="containsText" dxfId="11" priority="1" operator="containsText" text="ข">
      <formula>NOT(ISERROR(SEARCH("ข",DH6)))</formula>
    </cfRule>
    <cfRule type="containsText" dxfId="10" priority="2" operator="containsText" text="ล">
      <formula>NOT(ISERROR(SEARCH("ล",DH6)))</formula>
    </cfRule>
    <cfRule type="containsText" dxfId="9" priority="3" operator="containsText" text="ป">
      <formula>NOT(ISERROR(SEARCH("ป",DH6)))</formula>
    </cfRule>
  </conditionalFormatting>
  <dataValidations count="6">
    <dataValidation type="list" allowBlank="1" showInputMessage="1" showErrorMessage="1" sqref="DC983041:DL983041 DC65537:DL65537 DC131073:DL131073 DC196609:DL196609 DC262145:DL262145 DC327681:DL327681 DC393217:DL393217 DC458753:DL458753 DC524289:DL524289 DC589825:DL589825 DC655361:DL655361 DC720897:DL720897 DC786433:DL786433 DC851969:DL851969 DC917505:DL917505 G1:DL1">
      <formula1>$DU$1:$DU$22</formula1>
    </dataValidation>
    <dataValidation type="list" allowBlank="1" showInputMessage="1" showErrorMessage="1" sqref="DC983044:DL983044 DC65540:DL65540 DC131076:DL131076 DC196612:DL196612 DC262148:DL262148 DC327684:DL327684 DC393220:DL393220 DC458756:DL458756 DC524292:DL524292 DC589828:DL589828 DC655364:DL655364 DC720900:DL720900 DC786436:DL786436 DC851972:DL851972 DC917508:DL917508">
      <formula1>$DV$1:$DV$31</formula1>
    </dataValidation>
    <dataValidation type="list" allowBlank="1" showInputMessage="1" showErrorMessage="1" sqref="DC983045:DL983045 DC65541:DL65541 DC131077:DL131077 DC196613:DL196613 DC262149:DL262149 DC327685:DL327685 DC393221:DL393221 DC458757:DL458757 DC524293:DL524293 DC589829:DL589829 DC655365:DL655365 DC720901:DL720901 DC786437:DL786437 DC851973:DL851973 DC917509:DL917509">
      <formula1>$DW$1:$DW$8</formula1>
    </dataValidation>
    <dataValidation type="list" allowBlank="1" showInputMessage="1" showErrorMessage="1" sqref="DC983046:DL983095 DC65542:DL65591 DC131078:DL131127 DC196614:DL196663 DC262150:DL262199 DC327686:DL327735 DC393222:DL393271 DC458758:DL458807 DC524294:DL524343 DC589830:DL589879 DC655366:DL655415 DC720902:DL720951 DC786438:DL786487 DC851974:DL852023 DC917510:DL917559">
      <formula1>$DX$1:$DX$3</formula1>
    </dataValidation>
    <dataValidation type="list" allowBlank="1" showInputMessage="1" showErrorMessage="1" sqref="G5:DL5 JC5:NH5 SY5:XD5 ACU5:AGZ5 AMQ5:AQV5 AWM5:BAR5 BGI5:BKN5 BQE5:BUJ5 CAA5:CEF5 CJW5:COB5 CTS5:CXX5 DDO5:DHT5 DNK5:DRP5 DXG5:EBL5 EHC5:ELH5 EQY5:EVD5 FAU5:FEZ5 FKQ5:FOV5 FUM5:FYR5 GEI5:GIN5 GOE5:GSJ5 GYA5:HCF5 HHW5:HMB5 HRS5:HVX5 IBO5:IFT5 ILK5:IPP5 IVG5:IZL5 JFC5:JJH5 JOY5:JTD5 JYU5:KCZ5 KIQ5:KMV5 KSM5:KWR5 LCI5:LGN5 LME5:LQJ5 LWA5:MAF5 MFW5:MKB5 MPS5:MTX5 MZO5:NDT5 NJK5:NNP5 NTG5:NXL5 ODC5:OHH5 OMY5:ORD5 OWU5:PAZ5 PGQ5:PKV5 PQM5:PUR5 QAI5:QEN5 QKE5:QOJ5 QUA5:QYF5 RDW5:RIB5 RNS5:RRX5 RXO5:SBT5 SHK5:SLP5 SRG5:SVL5 TBC5:TFH5 TKY5:TPD5 TUU5:TYZ5 UEQ5:UIV5 UOM5:USR5 UYI5:VCN5 VIE5:VMJ5 VSA5:VWF5 WBW5:WGB5 WLS5:WPX5 WVO5:WZT5">
      <formula1>$DW$1:$DW$111</formula1>
    </dataValidation>
    <dataValidation type="list" allowBlank="1" showInputMessage="1" showErrorMessage="1" sqref="G6:DL55">
      <formula1>$DX$1:$DX$5</formula1>
    </dataValidation>
  </dataValidations>
  <pageMargins left="0.31496062992125984" right="0.23622047244094491" top="0.31496062992125984" bottom="0.31496062992125984" header="0.23622047244094491" footer="0.15748031496062992"/>
  <pageSetup paperSize="5" scale="95" orientation="portrait" blackAndWhite="1" verticalDpi="0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DX164"/>
  <sheetViews>
    <sheetView zoomScale="130" zoomScaleNormal="130" workbookViewId="0">
      <pane xSplit="6" ySplit="5" topLeftCell="G6" activePane="bottomRight" state="frozen"/>
      <selection pane="topRight" activeCell="G1" sqref="G1"/>
      <selection pane="bottomLeft" activeCell="A6" sqref="A6"/>
      <selection pane="bottomRight" sqref="A1:B1"/>
    </sheetView>
  </sheetViews>
  <sheetFormatPr defaultRowHeight="20.25" x14ac:dyDescent="0.3"/>
  <cols>
    <col min="1" max="1" width="6.375" style="139" customWidth="1"/>
    <col min="2" max="2" width="9.625" style="139" customWidth="1"/>
    <col min="3" max="3" width="17.625" style="139" customWidth="1"/>
    <col min="4" max="4" width="21.125" style="139" customWidth="1"/>
    <col min="5" max="5" width="0.75" style="140" hidden="1" customWidth="1"/>
    <col min="6" max="6" width="6.75" style="140" customWidth="1"/>
    <col min="7" max="116" width="1.875" style="140" customWidth="1"/>
    <col min="117" max="120" width="6.625" style="140" customWidth="1"/>
    <col min="121" max="121" width="8.125" style="140" customWidth="1"/>
    <col min="122" max="122" width="7.125" style="140" customWidth="1"/>
    <col min="125" max="128" width="9" style="140" hidden="1" customWidth="1"/>
    <col min="129" max="16384" width="9" style="140"/>
  </cols>
  <sheetData>
    <row r="1" spans="1:128" ht="27" customHeight="1" thickBot="1" x14ac:dyDescent="0.35">
      <c r="A1" s="573" t="str">
        <f>DATA!B6</f>
        <v>ประถมศึกษาปีที่ ๔/๑</v>
      </c>
      <c r="B1" s="573"/>
      <c r="C1" s="574" t="str">
        <f>"การประเมินผลการเรียนรู้  กลุ่มสาระ"&amp;DATA!B7</f>
        <v>การประเมินผลการเรียนรู้  กลุ่มสาระภาษาไทย</v>
      </c>
      <c r="D1" s="575"/>
      <c r="E1" s="575"/>
      <c r="F1" s="575"/>
      <c r="G1" s="600" t="s">
        <v>185</v>
      </c>
      <c r="H1" s="601"/>
      <c r="I1" s="601"/>
      <c r="J1" s="601"/>
      <c r="K1" s="601"/>
      <c r="L1" s="600" t="s">
        <v>186</v>
      </c>
      <c r="M1" s="601"/>
      <c r="N1" s="601"/>
      <c r="O1" s="601"/>
      <c r="P1" s="601"/>
      <c r="Q1" s="600" t="s">
        <v>186</v>
      </c>
      <c r="R1" s="601"/>
      <c r="S1" s="601"/>
      <c r="T1" s="601"/>
      <c r="U1" s="601"/>
      <c r="V1" s="600" t="s">
        <v>186</v>
      </c>
      <c r="W1" s="601"/>
      <c r="X1" s="601"/>
      <c r="Y1" s="601"/>
      <c r="Z1" s="601"/>
      <c r="AA1" s="600" t="s">
        <v>186</v>
      </c>
      <c r="AB1" s="601"/>
      <c r="AC1" s="601"/>
      <c r="AD1" s="601"/>
      <c r="AE1" s="601"/>
      <c r="AF1" s="600" t="s">
        <v>188</v>
      </c>
      <c r="AG1" s="601"/>
      <c r="AH1" s="601"/>
      <c r="AI1" s="601"/>
      <c r="AJ1" s="601"/>
      <c r="AK1" s="600" t="s">
        <v>188</v>
      </c>
      <c r="AL1" s="601"/>
      <c r="AM1" s="601"/>
      <c r="AN1" s="601"/>
      <c r="AO1" s="601"/>
      <c r="AP1" s="600" t="s">
        <v>188</v>
      </c>
      <c r="AQ1" s="601"/>
      <c r="AR1" s="601"/>
      <c r="AS1" s="601"/>
      <c r="AT1" s="601"/>
      <c r="AU1" s="600" t="s">
        <v>188</v>
      </c>
      <c r="AV1" s="601"/>
      <c r="AW1" s="601"/>
      <c r="AX1" s="601"/>
      <c r="AY1" s="601"/>
      <c r="AZ1" s="600" t="s">
        <v>168</v>
      </c>
      <c r="BA1" s="601"/>
      <c r="BB1" s="601"/>
      <c r="BC1" s="601"/>
      <c r="BD1" s="601"/>
      <c r="BE1" s="600" t="s">
        <v>168</v>
      </c>
      <c r="BF1" s="601"/>
      <c r="BG1" s="601"/>
      <c r="BH1" s="601"/>
      <c r="BI1" s="601"/>
      <c r="BJ1" s="600" t="s">
        <v>168</v>
      </c>
      <c r="BK1" s="601"/>
      <c r="BL1" s="601"/>
      <c r="BM1" s="601"/>
      <c r="BN1" s="601"/>
      <c r="BO1" s="600" t="s">
        <v>168</v>
      </c>
      <c r="BP1" s="601"/>
      <c r="BQ1" s="601"/>
      <c r="BR1" s="601"/>
      <c r="BS1" s="601"/>
      <c r="BT1" s="600" t="s">
        <v>169</v>
      </c>
      <c r="BU1" s="601"/>
      <c r="BV1" s="601"/>
      <c r="BW1" s="601"/>
      <c r="BX1" s="601"/>
      <c r="BY1" s="600" t="s">
        <v>170</v>
      </c>
      <c r="BZ1" s="601"/>
      <c r="CA1" s="601"/>
      <c r="CB1" s="601"/>
      <c r="CC1" s="601"/>
      <c r="CD1" s="600" t="s">
        <v>170</v>
      </c>
      <c r="CE1" s="601"/>
      <c r="CF1" s="601"/>
      <c r="CG1" s="601"/>
      <c r="CH1" s="601"/>
      <c r="CI1" s="600" t="s">
        <v>170</v>
      </c>
      <c r="CJ1" s="601"/>
      <c r="CK1" s="601"/>
      <c r="CL1" s="601"/>
      <c r="CM1" s="601"/>
      <c r="CN1" s="600" t="s">
        <v>171</v>
      </c>
      <c r="CO1" s="601"/>
      <c r="CP1" s="601"/>
      <c r="CQ1" s="601"/>
      <c r="CR1" s="601"/>
      <c r="CS1" s="600" t="s">
        <v>172</v>
      </c>
      <c r="CT1" s="601"/>
      <c r="CU1" s="601"/>
      <c r="CV1" s="601"/>
      <c r="CW1" s="601"/>
      <c r="CX1" s="600" t="s">
        <v>172</v>
      </c>
      <c r="CY1" s="601"/>
      <c r="CZ1" s="601"/>
      <c r="DA1" s="601"/>
      <c r="DB1" s="601"/>
      <c r="DC1" s="600" t="s">
        <v>172</v>
      </c>
      <c r="DD1" s="601"/>
      <c r="DE1" s="601"/>
      <c r="DF1" s="601"/>
      <c r="DG1" s="601"/>
      <c r="DH1" s="600" t="s">
        <v>172</v>
      </c>
      <c r="DI1" s="601"/>
      <c r="DJ1" s="601"/>
      <c r="DK1" s="601"/>
      <c r="DL1" s="601"/>
      <c r="DM1" s="604" t="s">
        <v>228</v>
      </c>
      <c r="DN1" s="605"/>
      <c r="DO1" s="605"/>
      <c r="DP1" s="605"/>
      <c r="DQ1" s="606"/>
      <c r="DR1" s="607" t="s">
        <v>230</v>
      </c>
      <c r="DU1" s="140" t="s">
        <v>168</v>
      </c>
      <c r="DV1" s="175">
        <v>1</v>
      </c>
      <c r="DW1" s="175">
        <v>1</v>
      </c>
      <c r="DX1" s="175" t="s">
        <v>209</v>
      </c>
    </row>
    <row r="2" spans="1:128" ht="21" thickBot="1" x14ac:dyDescent="0.35">
      <c r="A2" s="585" t="s">
        <v>2</v>
      </c>
      <c r="B2" s="588" t="s">
        <v>3</v>
      </c>
      <c r="C2" s="591" t="s">
        <v>232</v>
      </c>
      <c r="D2" s="591" t="s">
        <v>235</v>
      </c>
      <c r="E2" s="360"/>
      <c r="F2" s="378" t="s">
        <v>120</v>
      </c>
      <c r="G2" s="623" t="s">
        <v>189</v>
      </c>
      <c r="H2" s="622"/>
      <c r="I2" s="622"/>
      <c r="J2" s="622"/>
      <c r="K2" s="624"/>
      <c r="L2" s="622" t="s">
        <v>190</v>
      </c>
      <c r="M2" s="622"/>
      <c r="N2" s="622"/>
      <c r="O2" s="622"/>
      <c r="P2" s="622"/>
      <c r="Q2" s="623" t="s">
        <v>198</v>
      </c>
      <c r="R2" s="622"/>
      <c r="S2" s="622"/>
      <c r="T2" s="622"/>
      <c r="U2" s="624"/>
      <c r="V2" s="622" t="s">
        <v>191</v>
      </c>
      <c r="W2" s="622"/>
      <c r="X2" s="622"/>
      <c r="Y2" s="622"/>
      <c r="Z2" s="622"/>
      <c r="AA2" s="623" t="s">
        <v>192</v>
      </c>
      <c r="AB2" s="622"/>
      <c r="AC2" s="622"/>
      <c r="AD2" s="622"/>
      <c r="AE2" s="624"/>
      <c r="AF2" s="622" t="s">
        <v>193</v>
      </c>
      <c r="AG2" s="622"/>
      <c r="AH2" s="622"/>
      <c r="AI2" s="622"/>
      <c r="AJ2" s="622"/>
      <c r="AK2" s="623" t="s">
        <v>194</v>
      </c>
      <c r="AL2" s="622"/>
      <c r="AM2" s="622"/>
      <c r="AN2" s="622"/>
      <c r="AO2" s="624"/>
      <c r="AP2" s="622" t="s">
        <v>195</v>
      </c>
      <c r="AQ2" s="622"/>
      <c r="AR2" s="622"/>
      <c r="AS2" s="622"/>
      <c r="AT2" s="622"/>
      <c r="AU2" s="623" t="s">
        <v>196</v>
      </c>
      <c r="AV2" s="622"/>
      <c r="AW2" s="622"/>
      <c r="AX2" s="622"/>
      <c r="AY2" s="624"/>
      <c r="AZ2" s="622" t="s">
        <v>197</v>
      </c>
      <c r="BA2" s="622"/>
      <c r="BB2" s="622"/>
      <c r="BC2" s="622"/>
      <c r="BD2" s="622"/>
      <c r="BE2" s="623" t="s">
        <v>199</v>
      </c>
      <c r="BF2" s="622"/>
      <c r="BG2" s="622"/>
      <c r="BH2" s="622"/>
      <c r="BI2" s="624"/>
      <c r="BJ2" s="622" t="s">
        <v>200</v>
      </c>
      <c r="BK2" s="622"/>
      <c r="BL2" s="622"/>
      <c r="BM2" s="622"/>
      <c r="BN2" s="622"/>
      <c r="BO2" s="623" t="s">
        <v>201</v>
      </c>
      <c r="BP2" s="622"/>
      <c r="BQ2" s="622"/>
      <c r="BR2" s="622"/>
      <c r="BS2" s="624"/>
      <c r="BT2" s="622" t="s">
        <v>202</v>
      </c>
      <c r="BU2" s="622"/>
      <c r="BV2" s="622"/>
      <c r="BW2" s="622"/>
      <c r="BX2" s="622"/>
      <c r="BY2" s="623" t="s">
        <v>203</v>
      </c>
      <c r="BZ2" s="622"/>
      <c r="CA2" s="622"/>
      <c r="CB2" s="622"/>
      <c r="CC2" s="624"/>
      <c r="CD2" s="622" t="s">
        <v>204</v>
      </c>
      <c r="CE2" s="622"/>
      <c r="CF2" s="622"/>
      <c r="CG2" s="622"/>
      <c r="CH2" s="622"/>
      <c r="CI2" s="623" t="s">
        <v>205</v>
      </c>
      <c r="CJ2" s="622"/>
      <c r="CK2" s="622"/>
      <c r="CL2" s="622"/>
      <c r="CM2" s="624"/>
      <c r="CN2" s="622" t="s">
        <v>206</v>
      </c>
      <c r="CO2" s="622"/>
      <c r="CP2" s="622"/>
      <c r="CQ2" s="622"/>
      <c r="CR2" s="622"/>
      <c r="CS2" s="623" t="s">
        <v>207</v>
      </c>
      <c r="CT2" s="622"/>
      <c r="CU2" s="622"/>
      <c r="CV2" s="622"/>
      <c r="CW2" s="624"/>
      <c r="CX2" s="622" t="s">
        <v>208</v>
      </c>
      <c r="CY2" s="622"/>
      <c r="CZ2" s="622"/>
      <c r="DA2" s="622"/>
      <c r="DB2" s="622"/>
      <c r="DC2" s="623" t="s">
        <v>226</v>
      </c>
      <c r="DD2" s="622"/>
      <c r="DE2" s="622"/>
      <c r="DF2" s="622"/>
      <c r="DG2" s="624"/>
      <c r="DH2" s="622" t="s">
        <v>227</v>
      </c>
      <c r="DI2" s="622"/>
      <c r="DJ2" s="622"/>
      <c r="DK2" s="622"/>
      <c r="DL2" s="622"/>
      <c r="DM2" s="604" t="s">
        <v>134</v>
      </c>
      <c r="DN2" s="610"/>
      <c r="DO2" s="306">
        <f>COUNT(G5:DL5)</f>
        <v>0</v>
      </c>
      <c r="DP2" s="611" t="s">
        <v>123</v>
      </c>
      <c r="DQ2" s="612"/>
      <c r="DR2" s="608"/>
      <c r="DU2" s="140" t="s">
        <v>169</v>
      </c>
      <c r="DV2" s="175">
        <v>2</v>
      </c>
      <c r="DW2" s="175">
        <v>2</v>
      </c>
      <c r="DX2" s="175" t="s">
        <v>210</v>
      </c>
    </row>
    <row r="3" spans="1:128" ht="18" customHeight="1" thickBot="1" x14ac:dyDescent="0.35">
      <c r="A3" s="586"/>
      <c r="B3" s="589"/>
      <c r="C3" s="592"/>
      <c r="D3" s="592"/>
      <c r="E3" s="362"/>
      <c r="F3" s="378" t="s">
        <v>121</v>
      </c>
      <c r="G3" s="379" t="s">
        <v>124</v>
      </c>
      <c r="H3" s="380" t="s">
        <v>125</v>
      </c>
      <c r="I3" s="380" t="s">
        <v>126</v>
      </c>
      <c r="J3" s="380" t="s">
        <v>127</v>
      </c>
      <c r="K3" s="381" t="s">
        <v>128</v>
      </c>
      <c r="L3" s="382" t="s">
        <v>124</v>
      </c>
      <c r="M3" s="380" t="s">
        <v>125</v>
      </c>
      <c r="N3" s="380" t="s">
        <v>126</v>
      </c>
      <c r="O3" s="380" t="s">
        <v>127</v>
      </c>
      <c r="P3" s="383" t="s">
        <v>128</v>
      </c>
      <c r="Q3" s="379" t="s">
        <v>124</v>
      </c>
      <c r="R3" s="380" t="s">
        <v>125</v>
      </c>
      <c r="S3" s="380" t="s">
        <v>126</v>
      </c>
      <c r="T3" s="380" t="s">
        <v>127</v>
      </c>
      <c r="U3" s="381" t="s">
        <v>128</v>
      </c>
      <c r="V3" s="382" t="s">
        <v>124</v>
      </c>
      <c r="W3" s="380" t="s">
        <v>125</v>
      </c>
      <c r="X3" s="380" t="s">
        <v>126</v>
      </c>
      <c r="Y3" s="380" t="s">
        <v>127</v>
      </c>
      <c r="Z3" s="383" t="s">
        <v>128</v>
      </c>
      <c r="AA3" s="379" t="s">
        <v>124</v>
      </c>
      <c r="AB3" s="380" t="s">
        <v>125</v>
      </c>
      <c r="AC3" s="380" t="s">
        <v>126</v>
      </c>
      <c r="AD3" s="380" t="s">
        <v>127</v>
      </c>
      <c r="AE3" s="381" t="s">
        <v>128</v>
      </c>
      <c r="AF3" s="382" t="s">
        <v>124</v>
      </c>
      <c r="AG3" s="380" t="s">
        <v>125</v>
      </c>
      <c r="AH3" s="380" t="s">
        <v>126</v>
      </c>
      <c r="AI3" s="380" t="s">
        <v>127</v>
      </c>
      <c r="AJ3" s="383" t="s">
        <v>128</v>
      </c>
      <c r="AK3" s="379" t="s">
        <v>124</v>
      </c>
      <c r="AL3" s="380" t="s">
        <v>125</v>
      </c>
      <c r="AM3" s="380" t="s">
        <v>126</v>
      </c>
      <c r="AN3" s="380" t="s">
        <v>127</v>
      </c>
      <c r="AO3" s="381" t="s">
        <v>128</v>
      </c>
      <c r="AP3" s="382" t="s">
        <v>124</v>
      </c>
      <c r="AQ3" s="380" t="s">
        <v>125</v>
      </c>
      <c r="AR3" s="380" t="s">
        <v>126</v>
      </c>
      <c r="AS3" s="380" t="s">
        <v>127</v>
      </c>
      <c r="AT3" s="383" t="s">
        <v>128</v>
      </c>
      <c r="AU3" s="379" t="s">
        <v>124</v>
      </c>
      <c r="AV3" s="380" t="s">
        <v>125</v>
      </c>
      <c r="AW3" s="380" t="s">
        <v>126</v>
      </c>
      <c r="AX3" s="380" t="s">
        <v>127</v>
      </c>
      <c r="AY3" s="381" t="s">
        <v>128</v>
      </c>
      <c r="AZ3" s="382" t="s">
        <v>124</v>
      </c>
      <c r="BA3" s="380" t="s">
        <v>125</v>
      </c>
      <c r="BB3" s="380" t="s">
        <v>126</v>
      </c>
      <c r="BC3" s="380" t="s">
        <v>127</v>
      </c>
      <c r="BD3" s="383" t="s">
        <v>128</v>
      </c>
      <c r="BE3" s="379" t="s">
        <v>124</v>
      </c>
      <c r="BF3" s="380" t="s">
        <v>125</v>
      </c>
      <c r="BG3" s="380" t="s">
        <v>126</v>
      </c>
      <c r="BH3" s="380" t="s">
        <v>127</v>
      </c>
      <c r="BI3" s="381" t="s">
        <v>128</v>
      </c>
      <c r="BJ3" s="382" t="s">
        <v>124</v>
      </c>
      <c r="BK3" s="380" t="s">
        <v>125</v>
      </c>
      <c r="BL3" s="380" t="s">
        <v>126</v>
      </c>
      <c r="BM3" s="380" t="s">
        <v>127</v>
      </c>
      <c r="BN3" s="383" t="s">
        <v>128</v>
      </c>
      <c r="BO3" s="379" t="s">
        <v>124</v>
      </c>
      <c r="BP3" s="380" t="s">
        <v>125</v>
      </c>
      <c r="BQ3" s="380" t="s">
        <v>126</v>
      </c>
      <c r="BR3" s="380" t="s">
        <v>127</v>
      </c>
      <c r="BS3" s="381" t="s">
        <v>128</v>
      </c>
      <c r="BT3" s="382" t="s">
        <v>124</v>
      </c>
      <c r="BU3" s="380" t="s">
        <v>125</v>
      </c>
      <c r="BV3" s="380" t="s">
        <v>126</v>
      </c>
      <c r="BW3" s="380" t="s">
        <v>127</v>
      </c>
      <c r="BX3" s="383" t="s">
        <v>128</v>
      </c>
      <c r="BY3" s="379" t="s">
        <v>124</v>
      </c>
      <c r="BZ3" s="380" t="s">
        <v>125</v>
      </c>
      <c r="CA3" s="380" t="s">
        <v>126</v>
      </c>
      <c r="CB3" s="380" t="s">
        <v>127</v>
      </c>
      <c r="CC3" s="381" t="s">
        <v>128</v>
      </c>
      <c r="CD3" s="382" t="s">
        <v>124</v>
      </c>
      <c r="CE3" s="380" t="s">
        <v>125</v>
      </c>
      <c r="CF3" s="380" t="s">
        <v>126</v>
      </c>
      <c r="CG3" s="380" t="s">
        <v>127</v>
      </c>
      <c r="CH3" s="383" t="s">
        <v>128</v>
      </c>
      <c r="CI3" s="379" t="s">
        <v>124</v>
      </c>
      <c r="CJ3" s="380" t="s">
        <v>125</v>
      </c>
      <c r="CK3" s="380" t="s">
        <v>126</v>
      </c>
      <c r="CL3" s="380" t="s">
        <v>127</v>
      </c>
      <c r="CM3" s="381" t="s">
        <v>128</v>
      </c>
      <c r="CN3" s="382" t="s">
        <v>124</v>
      </c>
      <c r="CO3" s="380" t="s">
        <v>125</v>
      </c>
      <c r="CP3" s="380" t="s">
        <v>126</v>
      </c>
      <c r="CQ3" s="380" t="s">
        <v>127</v>
      </c>
      <c r="CR3" s="383" t="s">
        <v>128</v>
      </c>
      <c r="CS3" s="379" t="s">
        <v>124</v>
      </c>
      <c r="CT3" s="380" t="s">
        <v>125</v>
      </c>
      <c r="CU3" s="380" t="s">
        <v>126</v>
      </c>
      <c r="CV3" s="380" t="s">
        <v>127</v>
      </c>
      <c r="CW3" s="381" t="s">
        <v>128</v>
      </c>
      <c r="CX3" s="382" t="s">
        <v>124</v>
      </c>
      <c r="CY3" s="380" t="s">
        <v>125</v>
      </c>
      <c r="CZ3" s="380" t="s">
        <v>126</v>
      </c>
      <c r="DA3" s="380" t="s">
        <v>127</v>
      </c>
      <c r="DB3" s="383" t="s">
        <v>128</v>
      </c>
      <c r="DC3" s="379" t="s">
        <v>124</v>
      </c>
      <c r="DD3" s="380" t="s">
        <v>125</v>
      </c>
      <c r="DE3" s="380" t="s">
        <v>126</v>
      </c>
      <c r="DF3" s="380" t="s">
        <v>127</v>
      </c>
      <c r="DG3" s="381" t="s">
        <v>128</v>
      </c>
      <c r="DH3" s="382" t="s">
        <v>124</v>
      </c>
      <c r="DI3" s="380" t="s">
        <v>125</v>
      </c>
      <c r="DJ3" s="380" t="s">
        <v>126</v>
      </c>
      <c r="DK3" s="380" t="s">
        <v>127</v>
      </c>
      <c r="DL3" s="381" t="s">
        <v>128</v>
      </c>
      <c r="DM3" s="613" t="s">
        <v>211</v>
      </c>
      <c r="DN3" s="616" t="s">
        <v>135</v>
      </c>
      <c r="DO3" s="616" t="s">
        <v>136</v>
      </c>
      <c r="DP3" s="616" t="s">
        <v>137</v>
      </c>
      <c r="DQ3" s="619" t="s">
        <v>138</v>
      </c>
      <c r="DR3" s="608"/>
      <c r="DU3" s="140" t="s">
        <v>170</v>
      </c>
      <c r="DV3" s="175">
        <v>3</v>
      </c>
      <c r="DW3" s="175">
        <v>3</v>
      </c>
      <c r="DX3" s="175" t="s">
        <v>118</v>
      </c>
    </row>
    <row r="4" spans="1:128" ht="36" customHeight="1" thickBot="1" x14ac:dyDescent="0.35">
      <c r="A4" s="586"/>
      <c r="B4" s="589"/>
      <c r="C4" s="592"/>
      <c r="D4" s="592"/>
      <c r="E4" s="362"/>
      <c r="F4" s="361" t="s">
        <v>122</v>
      </c>
      <c r="G4" s="367">
        <v>23345</v>
      </c>
      <c r="H4" s="368">
        <f>IF($G$4=J80,"",$G$4+1)</f>
        <v>23346</v>
      </c>
      <c r="I4" s="368">
        <f>IF($G$4=0,"",$G$4+2)</f>
        <v>23347</v>
      </c>
      <c r="J4" s="368">
        <f>IF($G$4=0,"",$G$4+3)</f>
        <v>23348</v>
      </c>
      <c r="K4" s="369">
        <f>IF($G$4=0,"",$G$4+4)</f>
        <v>23349</v>
      </c>
      <c r="L4" s="370">
        <f>IF($G$4=0,"",$G$4+7)</f>
        <v>23352</v>
      </c>
      <c r="M4" s="368">
        <f>IF($G$4=0,"",$G$4+8)</f>
        <v>23353</v>
      </c>
      <c r="N4" s="368">
        <f>IF($G$4=0,"",$G$4+9)</f>
        <v>23354</v>
      </c>
      <c r="O4" s="368">
        <f>IF($G$4=0,"",$G$4+10)</f>
        <v>23355</v>
      </c>
      <c r="P4" s="371">
        <f>IF($G$4=0,"",$G$4+11)</f>
        <v>23356</v>
      </c>
      <c r="Q4" s="372">
        <f>IF($G$4=0,"",$G$4+14)</f>
        <v>23359</v>
      </c>
      <c r="R4" s="368">
        <f>IF($G$4=0,"",$G$4+15)</f>
        <v>23360</v>
      </c>
      <c r="S4" s="368">
        <f>IF($G$4=0,"",$G$4+16)</f>
        <v>23361</v>
      </c>
      <c r="T4" s="368">
        <f>IF($G$4=0,"",$G$4+17)</f>
        <v>23362</v>
      </c>
      <c r="U4" s="369">
        <f>IF($G$4=0,"",$G$4+18)</f>
        <v>23363</v>
      </c>
      <c r="V4" s="370">
        <f>IF($G$4=0,"",$G$4+21)</f>
        <v>23366</v>
      </c>
      <c r="W4" s="368">
        <f>IF($G$4=0,"",$G$4+22)</f>
        <v>23367</v>
      </c>
      <c r="X4" s="368">
        <f>IF($G$4=0,"",$G$4+23)</f>
        <v>23368</v>
      </c>
      <c r="Y4" s="368">
        <f>IF($G$4=0,"",$G$4+24)</f>
        <v>23369</v>
      </c>
      <c r="Z4" s="371">
        <f>IF($G$4=0,"",$G$4+25)</f>
        <v>23370</v>
      </c>
      <c r="AA4" s="372">
        <f>IF($G$4=0,"",$G$4+28)</f>
        <v>23373</v>
      </c>
      <c r="AB4" s="368">
        <f>IF($G$4=0,"",$G$4+29)</f>
        <v>23374</v>
      </c>
      <c r="AC4" s="368">
        <f>IF($G$4=0,"",$G$4+30)</f>
        <v>23375</v>
      </c>
      <c r="AD4" s="368">
        <f>IF($G$4=0,"",$G$4+31)</f>
        <v>23376</v>
      </c>
      <c r="AE4" s="369">
        <f>IF($G$4=0,"",$G$4+32)</f>
        <v>23377</v>
      </c>
      <c r="AF4" s="370">
        <f>IF($G$4=0,"",$G$4+35)</f>
        <v>23380</v>
      </c>
      <c r="AG4" s="368">
        <f>IF($G$4=0,"",$G$4+36)</f>
        <v>23381</v>
      </c>
      <c r="AH4" s="368">
        <f>IF($G$4=0,"",$G$4+37)</f>
        <v>23382</v>
      </c>
      <c r="AI4" s="368">
        <f>IF($G$4=0,"",$G$4+38)</f>
        <v>23383</v>
      </c>
      <c r="AJ4" s="371">
        <f>IF($G$4=0,"",$G$4+39)</f>
        <v>23384</v>
      </c>
      <c r="AK4" s="372">
        <f>IF($G$4=0,"",$G$4+42)</f>
        <v>23387</v>
      </c>
      <c r="AL4" s="368">
        <f>IF($G$4=0,"",$G$4+43)</f>
        <v>23388</v>
      </c>
      <c r="AM4" s="368">
        <f>IF($G$4=0,"",$G$4+44)</f>
        <v>23389</v>
      </c>
      <c r="AN4" s="368">
        <f>IF($G$4=0,"",$G$4+45)</f>
        <v>23390</v>
      </c>
      <c r="AO4" s="369">
        <f>IF($G$4=0,"",$G$4+46)</f>
        <v>23391</v>
      </c>
      <c r="AP4" s="372">
        <f>IF($G$4=0,"",$G$4+49)</f>
        <v>23394</v>
      </c>
      <c r="AQ4" s="368">
        <f>IF($G$4=0,"",$G$4+50)</f>
        <v>23395</v>
      </c>
      <c r="AR4" s="368">
        <f>IF($G$4=0,"",$G$4+51)</f>
        <v>23396</v>
      </c>
      <c r="AS4" s="368">
        <f>IF($G$4=0,"",$G$4+52)</f>
        <v>23397</v>
      </c>
      <c r="AT4" s="369">
        <f>IF($G$4=0,"",$G$4+53)</f>
        <v>23398</v>
      </c>
      <c r="AU4" s="370">
        <f>IF($G$4=0,"",$G$4+56)</f>
        <v>23401</v>
      </c>
      <c r="AV4" s="368">
        <f>IF($G$4=0,"",$G$4+57)</f>
        <v>23402</v>
      </c>
      <c r="AW4" s="368">
        <f>IF($G$4=0,"",$G$4+58)</f>
        <v>23403</v>
      </c>
      <c r="AX4" s="368">
        <f>IF($G$4=0,"",$G$4+59)</f>
        <v>23404</v>
      </c>
      <c r="AY4" s="371">
        <f>IF($G$4=0,"",$G$4+60)</f>
        <v>23405</v>
      </c>
      <c r="AZ4" s="372">
        <f>IF($G$4=0,"",$G$4+63)</f>
        <v>23408</v>
      </c>
      <c r="BA4" s="368">
        <f>IF($G$4=0,"",$G$4+64)</f>
        <v>23409</v>
      </c>
      <c r="BB4" s="368">
        <f>IF($G$4=0,"",$G$4+65)</f>
        <v>23410</v>
      </c>
      <c r="BC4" s="368">
        <f>IF($G$4=0,"",$G$4+66)</f>
        <v>23411</v>
      </c>
      <c r="BD4" s="369">
        <f>IF($G$4=0,"",$G$4+67)</f>
        <v>23412</v>
      </c>
      <c r="BE4" s="372">
        <f>IF($G$4=0,"",$G$4+70)</f>
        <v>23415</v>
      </c>
      <c r="BF4" s="368">
        <f>IF($G$4=0,"",$G$4+71)</f>
        <v>23416</v>
      </c>
      <c r="BG4" s="368">
        <f>IF($G$4=0,"",$G$4+72)</f>
        <v>23417</v>
      </c>
      <c r="BH4" s="368">
        <f>IF($G$4=0,"",$G$4+73)</f>
        <v>23418</v>
      </c>
      <c r="BI4" s="369">
        <f>IF($G$4=0,"",$G$4+74)</f>
        <v>23419</v>
      </c>
      <c r="BJ4" s="370">
        <f>IF($G$4=0,"",$G$4+77)</f>
        <v>23422</v>
      </c>
      <c r="BK4" s="368">
        <f>IF($G$4=0,"",$G$4+78)</f>
        <v>23423</v>
      </c>
      <c r="BL4" s="368">
        <f>IF($G$4=0,"",$G$4+79)</f>
        <v>23424</v>
      </c>
      <c r="BM4" s="368">
        <f>IF($G$4=0,"",$G$4+80)</f>
        <v>23425</v>
      </c>
      <c r="BN4" s="371">
        <f>IF($G$4=0,"",$G$4+81)</f>
        <v>23426</v>
      </c>
      <c r="BO4" s="368">
        <f>IF($G$4=0,"",$G$4+84)</f>
        <v>23429</v>
      </c>
      <c r="BP4" s="368">
        <f>IF($G$4=0,"",$G$4+85)</f>
        <v>23430</v>
      </c>
      <c r="BQ4" s="368">
        <f>IF($G$4=0,"",$G$4+86)</f>
        <v>23431</v>
      </c>
      <c r="BR4" s="368">
        <f>IF($G$4=0,"",$G$4+87)</f>
        <v>23432</v>
      </c>
      <c r="BS4" s="369">
        <f>IF($G$4=0,"",$G$4+88)</f>
        <v>23433</v>
      </c>
      <c r="BT4" s="372">
        <f>IF($G$4=0,"",$G$4+91)</f>
        <v>23436</v>
      </c>
      <c r="BU4" s="368">
        <f>IF($G$4=0,"",$G$4+92)</f>
        <v>23437</v>
      </c>
      <c r="BV4" s="368">
        <f>IF($G$4=0,"",$G$4+93)</f>
        <v>23438</v>
      </c>
      <c r="BW4" s="368">
        <f>IF($G$4=0,"",$G$4+94)</f>
        <v>23439</v>
      </c>
      <c r="BX4" s="369">
        <f>IF($G$4=0,"",$G$4+95)</f>
        <v>23440</v>
      </c>
      <c r="BY4" s="372">
        <f>IF($G$4=0,"",$G$4+98)</f>
        <v>23443</v>
      </c>
      <c r="BZ4" s="368">
        <f>IF($G$4=0,"",$G$4+99)</f>
        <v>23444</v>
      </c>
      <c r="CA4" s="368">
        <f>IF($G$4=0,"",$G$4+100)</f>
        <v>23445</v>
      </c>
      <c r="CB4" s="368">
        <f>IF($G$4=0,"",$G$4+101)</f>
        <v>23446</v>
      </c>
      <c r="CC4" s="369">
        <f>IF($G$4=0,"",$G$4+102)</f>
        <v>23447</v>
      </c>
      <c r="CD4" s="372">
        <f>IF($G$4=0,"",$G$4+105)</f>
        <v>23450</v>
      </c>
      <c r="CE4" s="368">
        <f>IF($G$4=0,"",$G$4+106)</f>
        <v>23451</v>
      </c>
      <c r="CF4" s="368">
        <f>IF($G$4=0,"",$G$4+107)</f>
        <v>23452</v>
      </c>
      <c r="CG4" s="368">
        <f>IF($G$4=0,"",$G$4+108)</f>
        <v>23453</v>
      </c>
      <c r="CH4" s="369">
        <f>IF($G$4=0,"",$G$4+109)</f>
        <v>23454</v>
      </c>
      <c r="CI4" s="372">
        <f>IF($G$4=0,"",$G$4+112)</f>
        <v>23457</v>
      </c>
      <c r="CJ4" s="368">
        <f>IF($G$4=0,"",$G$4+113)</f>
        <v>23458</v>
      </c>
      <c r="CK4" s="368">
        <f>IF($G$4=0,"",$G$4+114)</f>
        <v>23459</v>
      </c>
      <c r="CL4" s="368">
        <f>IF($G$4=0,"",$G$4+115)</f>
        <v>23460</v>
      </c>
      <c r="CM4" s="369">
        <f>IF($G$4=0,"",$G$4+116)</f>
        <v>23461</v>
      </c>
      <c r="CN4" s="372">
        <f>IF($G$4=0,"",$G$4+119)</f>
        <v>23464</v>
      </c>
      <c r="CO4" s="368">
        <f>IF($G$4=0,"",$G$4+120)</f>
        <v>23465</v>
      </c>
      <c r="CP4" s="368">
        <f>IF($G$4=0,"",$G$4+121)</f>
        <v>23466</v>
      </c>
      <c r="CQ4" s="368">
        <f>IF($G$4=0,"",$G$4+122)</f>
        <v>23467</v>
      </c>
      <c r="CR4" s="369">
        <f>IF($G$4=0,"",$G$4+123)</f>
        <v>23468</v>
      </c>
      <c r="CS4" s="372">
        <f>IF($G$4=0,"",$G$4+126)</f>
        <v>23471</v>
      </c>
      <c r="CT4" s="368">
        <f>IF($G$4=0,"",$G$4+127)</f>
        <v>23472</v>
      </c>
      <c r="CU4" s="368">
        <f>IF($G$4=0,"",$G$4+128)</f>
        <v>23473</v>
      </c>
      <c r="CV4" s="368">
        <f>IF($G$4=0,"",$G$4+129)</f>
        <v>23474</v>
      </c>
      <c r="CW4" s="369">
        <f>IF($G$4=0,"",$G$4+130)</f>
        <v>23475</v>
      </c>
      <c r="CX4" s="372">
        <f>IF($G$4=0,"",$G$4+133)</f>
        <v>23478</v>
      </c>
      <c r="CY4" s="368">
        <f>IF($G$4=0,"",$G$4+134)</f>
        <v>23479</v>
      </c>
      <c r="CZ4" s="368">
        <f>IF($G$4=0,"",$G$4+135)</f>
        <v>23480</v>
      </c>
      <c r="DA4" s="368">
        <f>IF($G$4=0,"",$G$4+136)</f>
        <v>23481</v>
      </c>
      <c r="DB4" s="369">
        <f>IF($G$4=0,"",$G$4+137)</f>
        <v>23482</v>
      </c>
      <c r="DC4" s="372">
        <f>IF($G$4=0,"",$G$4+140)</f>
        <v>23485</v>
      </c>
      <c r="DD4" s="368">
        <f>IF($G$4=0,"",$G$4+141)</f>
        <v>23486</v>
      </c>
      <c r="DE4" s="368">
        <f>IF($G$4=0,"",$G$4+142)</f>
        <v>23487</v>
      </c>
      <c r="DF4" s="368">
        <f>IF($G$4=0,"",$G$4+143)</f>
        <v>23488</v>
      </c>
      <c r="DG4" s="369">
        <f>IF($G$4=0,"",$G$4+144)</f>
        <v>23489</v>
      </c>
      <c r="DH4" s="372">
        <f>IF($G$4=0,"",$G$4+147)</f>
        <v>23492</v>
      </c>
      <c r="DI4" s="368">
        <f>IF($G$4=0,"",$G$4+148)</f>
        <v>23493</v>
      </c>
      <c r="DJ4" s="368">
        <f>IF($G$4=0,"",$G$4+149)</f>
        <v>23494</v>
      </c>
      <c r="DK4" s="368">
        <f>IF($G$4=0,"",$G$4+150)</f>
        <v>23495</v>
      </c>
      <c r="DL4" s="369">
        <f>IF($G$4=0,"",$G$4+151)</f>
        <v>23496</v>
      </c>
      <c r="DM4" s="614"/>
      <c r="DN4" s="617"/>
      <c r="DO4" s="617"/>
      <c r="DP4" s="617"/>
      <c r="DQ4" s="620"/>
      <c r="DR4" s="608"/>
      <c r="DU4" s="140" t="s">
        <v>171</v>
      </c>
      <c r="DV4" s="175">
        <v>4</v>
      </c>
      <c r="DW4" s="175">
        <v>4</v>
      </c>
      <c r="DX4" s="175" t="s">
        <v>234</v>
      </c>
    </row>
    <row r="5" spans="1:128" ht="18" customHeight="1" thickBot="1" x14ac:dyDescent="0.35">
      <c r="A5" s="587"/>
      <c r="B5" s="590"/>
      <c r="C5" s="593"/>
      <c r="D5" s="593"/>
      <c r="E5" s="373"/>
      <c r="F5" s="374" t="s">
        <v>212</v>
      </c>
      <c r="G5" s="375"/>
      <c r="H5" s="376"/>
      <c r="I5" s="376"/>
      <c r="J5" s="376"/>
      <c r="K5" s="377"/>
      <c r="L5" s="375"/>
      <c r="M5" s="376"/>
      <c r="N5" s="376"/>
      <c r="O5" s="376"/>
      <c r="P5" s="377"/>
      <c r="Q5" s="375"/>
      <c r="R5" s="376"/>
      <c r="S5" s="376"/>
      <c r="T5" s="376"/>
      <c r="U5" s="377"/>
      <c r="V5" s="375"/>
      <c r="W5" s="376"/>
      <c r="X5" s="376"/>
      <c r="Y5" s="376"/>
      <c r="Z5" s="377"/>
      <c r="AA5" s="375"/>
      <c r="AB5" s="376"/>
      <c r="AC5" s="376"/>
      <c r="AD5" s="376"/>
      <c r="AE5" s="377"/>
      <c r="AF5" s="375"/>
      <c r="AG5" s="376"/>
      <c r="AH5" s="376"/>
      <c r="AI5" s="376"/>
      <c r="AJ5" s="377"/>
      <c r="AK5" s="375"/>
      <c r="AL5" s="376"/>
      <c r="AM5" s="376"/>
      <c r="AN5" s="376"/>
      <c r="AO5" s="377"/>
      <c r="AP5" s="375"/>
      <c r="AQ5" s="376"/>
      <c r="AR5" s="376"/>
      <c r="AS5" s="376"/>
      <c r="AT5" s="377"/>
      <c r="AU5" s="375"/>
      <c r="AV5" s="376"/>
      <c r="AW5" s="376"/>
      <c r="AX5" s="376"/>
      <c r="AY5" s="377"/>
      <c r="AZ5" s="375"/>
      <c r="BA5" s="376"/>
      <c r="BB5" s="376"/>
      <c r="BC5" s="376"/>
      <c r="BD5" s="377"/>
      <c r="BE5" s="375"/>
      <c r="BF5" s="376"/>
      <c r="BG5" s="376"/>
      <c r="BH5" s="376"/>
      <c r="BI5" s="377"/>
      <c r="BJ5" s="375"/>
      <c r="BK5" s="376"/>
      <c r="BL5" s="376"/>
      <c r="BM5" s="376"/>
      <c r="BN5" s="377"/>
      <c r="BO5" s="375"/>
      <c r="BP5" s="376"/>
      <c r="BQ5" s="376"/>
      <c r="BR5" s="376"/>
      <c r="BS5" s="377"/>
      <c r="BT5" s="375"/>
      <c r="BU5" s="376"/>
      <c r="BV5" s="376"/>
      <c r="BW5" s="376"/>
      <c r="BX5" s="377"/>
      <c r="BY5" s="375"/>
      <c r="BZ5" s="376"/>
      <c r="CA5" s="376"/>
      <c r="CB5" s="376"/>
      <c r="CC5" s="377"/>
      <c r="CD5" s="375"/>
      <c r="CE5" s="376"/>
      <c r="CF5" s="376"/>
      <c r="CG5" s="376"/>
      <c r="CH5" s="377"/>
      <c r="CI5" s="375"/>
      <c r="CJ5" s="376"/>
      <c r="CK5" s="376"/>
      <c r="CL5" s="376"/>
      <c r="CM5" s="377"/>
      <c r="CN5" s="375"/>
      <c r="CO5" s="376"/>
      <c r="CP5" s="376"/>
      <c r="CQ5" s="376"/>
      <c r="CR5" s="377"/>
      <c r="CS5" s="375"/>
      <c r="CT5" s="376"/>
      <c r="CU5" s="376"/>
      <c r="CV5" s="376"/>
      <c r="CW5" s="377"/>
      <c r="CX5" s="375"/>
      <c r="CY5" s="376"/>
      <c r="CZ5" s="376"/>
      <c r="DA5" s="376"/>
      <c r="DB5" s="377"/>
      <c r="DC5" s="375"/>
      <c r="DD5" s="376"/>
      <c r="DE5" s="376"/>
      <c r="DF5" s="376"/>
      <c r="DG5" s="377"/>
      <c r="DH5" s="375"/>
      <c r="DI5" s="376"/>
      <c r="DJ5" s="376"/>
      <c r="DK5" s="376"/>
      <c r="DL5" s="377"/>
      <c r="DM5" s="615"/>
      <c r="DN5" s="618"/>
      <c r="DO5" s="618"/>
      <c r="DP5" s="618"/>
      <c r="DQ5" s="621"/>
      <c r="DR5" s="609"/>
      <c r="DU5" s="140" t="s">
        <v>172</v>
      </c>
      <c r="DV5" s="175">
        <v>5</v>
      </c>
      <c r="DW5" s="175">
        <v>5</v>
      </c>
    </row>
    <row r="6" spans="1:128" ht="18" customHeight="1" x14ac:dyDescent="0.3">
      <c r="A6" s="308">
        <f>ปพ.5!$A$6</f>
        <v>1</v>
      </c>
      <c r="B6" s="321" t="str">
        <f>ปพ.5!$B$6</f>
        <v>6665</v>
      </c>
      <c r="C6" s="351" t="str">
        <f>ปพ.5!$C$6</f>
        <v>1103101145462</v>
      </c>
      <c r="D6" s="576" t="str">
        <f>ปพ.5!$D$6</f>
        <v>เด็กชาย คมกฤษ  วิยะรส</v>
      </c>
      <c r="E6" s="577"/>
      <c r="F6" s="578"/>
      <c r="G6" s="311"/>
      <c r="H6" s="312"/>
      <c r="I6" s="312"/>
      <c r="J6" s="312"/>
      <c r="K6" s="313"/>
      <c r="L6" s="314"/>
      <c r="M6" s="312"/>
      <c r="N6" s="312"/>
      <c r="O6" s="312"/>
      <c r="P6" s="315"/>
      <c r="Q6" s="314"/>
      <c r="R6" s="312"/>
      <c r="S6" s="312"/>
      <c r="T6" s="312"/>
      <c r="U6" s="315"/>
      <c r="V6" s="314"/>
      <c r="W6" s="312"/>
      <c r="X6" s="312"/>
      <c r="Y6" s="312"/>
      <c r="Z6" s="315"/>
      <c r="AA6" s="314"/>
      <c r="AB6" s="312"/>
      <c r="AC6" s="312"/>
      <c r="AD6" s="312"/>
      <c r="AE6" s="315"/>
      <c r="AF6" s="314"/>
      <c r="AG6" s="312"/>
      <c r="AH6" s="312"/>
      <c r="AI6" s="312"/>
      <c r="AJ6" s="315"/>
      <c r="AK6" s="314"/>
      <c r="AL6" s="312"/>
      <c r="AM6" s="312"/>
      <c r="AN6" s="312"/>
      <c r="AO6" s="315"/>
      <c r="AP6" s="314"/>
      <c r="AQ6" s="312"/>
      <c r="AR6" s="312"/>
      <c r="AS6" s="312"/>
      <c r="AT6" s="315"/>
      <c r="AU6" s="314"/>
      <c r="AV6" s="312"/>
      <c r="AW6" s="312"/>
      <c r="AX6" s="312"/>
      <c r="AY6" s="315"/>
      <c r="AZ6" s="314"/>
      <c r="BA6" s="312"/>
      <c r="BB6" s="312"/>
      <c r="BC6" s="312"/>
      <c r="BD6" s="315"/>
      <c r="BE6" s="314"/>
      <c r="BF6" s="312"/>
      <c r="BG6" s="312"/>
      <c r="BH6" s="312"/>
      <c r="BI6" s="315"/>
      <c r="BJ6" s="314"/>
      <c r="BK6" s="312"/>
      <c r="BL6" s="312"/>
      <c r="BM6" s="312"/>
      <c r="BN6" s="315"/>
      <c r="BO6" s="314"/>
      <c r="BP6" s="312"/>
      <c r="BQ6" s="312"/>
      <c r="BR6" s="312"/>
      <c r="BS6" s="315"/>
      <c r="BT6" s="314"/>
      <c r="BU6" s="312"/>
      <c r="BV6" s="312"/>
      <c r="BW6" s="312"/>
      <c r="BX6" s="315"/>
      <c r="BY6" s="314"/>
      <c r="BZ6" s="312"/>
      <c r="CA6" s="312"/>
      <c r="CB6" s="312"/>
      <c r="CC6" s="315"/>
      <c r="CD6" s="314"/>
      <c r="CE6" s="312"/>
      <c r="CF6" s="312"/>
      <c r="CG6" s="312"/>
      <c r="CH6" s="315"/>
      <c r="CI6" s="314"/>
      <c r="CJ6" s="312"/>
      <c r="CK6" s="312"/>
      <c r="CL6" s="312"/>
      <c r="CM6" s="315"/>
      <c r="CN6" s="314"/>
      <c r="CO6" s="312"/>
      <c r="CP6" s="312"/>
      <c r="CQ6" s="312"/>
      <c r="CR6" s="315"/>
      <c r="CS6" s="314"/>
      <c r="CT6" s="312"/>
      <c r="CU6" s="312"/>
      <c r="CV6" s="312"/>
      <c r="CW6" s="315"/>
      <c r="CX6" s="314"/>
      <c r="CY6" s="312"/>
      <c r="CZ6" s="312"/>
      <c r="DA6" s="312"/>
      <c r="DB6" s="315"/>
      <c r="DC6" s="314"/>
      <c r="DD6" s="312"/>
      <c r="DE6" s="312"/>
      <c r="DF6" s="312"/>
      <c r="DG6" s="313"/>
      <c r="DH6" s="314"/>
      <c r="DI6" s="312"/>
      <c r="DJ6" s="312"/>
      <c r="DK6" s="312"/>
      <c r="DL6" s="313"/>
      <c r="DM6" s="305">
        <f>COUNTIF($G$6:$DL$6,"/")</f>
        <v>0</v>
      </c>
      <c r="DN6" s="303">
        <f>COUNTIF($G$6:$DL$6,"ป")</f>
        <v>0</v>
      </c>
      <c r="DO6" s="303">
        <f>COUNTIF($G$6:$DL$6,"ล")</f>
        <v>0</v>
      </c>
      <c r="DP6" s="303">
        <f>COUNTIF($G$6:$DL$6,"ข")</f>
        <v>0</v>
      </c>
      <c r="DQ6" s="304" t="e">
        <f>(DM6*100)/DR6</f>
        <v>#DIV/0!</v>
      </c>
      <c r="DR6" s="355">
        <f>COUNTA($G$5:$DL$5)</f>
        <v>0</v>
      </c>
      <c r="DU6" s="140" t="s">
        <v>173</v>
      </c>
      <c r="DV6" s="175">
        <v>6</v>
      </c>
      <c r="DW6" s="175">
        <v>6</v>
      </c>
    </row>
    <row r="7" spans="1:128" ht="18" customHeight="1" x14ac:dyDescent="0.3">
      <c r="A7" s="309">
        <f>ปพ.5!$A$7</f>
        <v>2</v>
      </c>
      <c r="B7" s="322" t="str">
        <f>ปพ.5!$B$7</f>
        <v>6666</v>
      </c>
      <c r="C7" s="352" t="str">
        <f>ปพ.5!$C$7</f>
        <v>1103200235648</v>
      </c>
      <c r="D7" s="579" t="str">
        <f>ปพ.5!$D$7</f>
        <v>เด็กชาย จักรวาล  ชะรารัตน์</v>
      </c>
      <c r="E7" s="580"/>
      <c r="F7" s="581"/>
      <c r="G7" s="311"/>
      <c r="H7" s="312"/>
      <c r="I7" s="312"/>
      <c r="J7" s="312"/>
      <c r="K7" s="313"/>
      <c r="L7" s="314"/>
      <c r="M7" s="312"/>
      <c r="N7" s="312"/>
      <c r="O7" s="312"/>
      <c r="P7" s="315"/>
      <c r="Q7" s="314"/>
      <c r="R7" s="312"/>
      <c r="S7" s="312"/>
      <c r="T7" s="312"/>
      <c r="U7" s="315"/>
      <c r="V7" s="314"/>
      <c r="W7" s="312"/>
      <c r="X7" s="312"/>
      <c r="Y7" s="312"/>
      <c r="Z7" s="315"/>
      <c r="AA7" s="314"/>
      <c r="AB7" s="312"/>
      <c r="AC7" s="312"/>
      <c r="AD7" s="312"/>
      <c r="AE7" s="315"/>
      <c r="AF7" s="314"/>
      <c r="AG7" s="312"/>
      <c r="AH7" s="312"/>
      <c r="AI7" s="312"/>
      <c r="AJ7" s="315"/>
      <c r="AK7" s="314"/>
      <c r="AL7" s="312"/>
      <c r="AM7" s="312"/>
      <c r="AN7" s="312"/>
      <c r="AO7" s="315"/>
      <c r="AP7" s="314"/>
      <c r="AQ7" s="312"/>
      <c r="AR7" s="312"/>
      <c r="AS7" s="312"/>
      <c r="AT7" s="315"/>
      <c r="AU7" s="314"/>
      <c r="AV7" s="312"/>
      <c r="AW7" s="312"/>
      <c r="AX7" s="312"/>
      <c r="AY7" s="315"/>
      <c r="AZ7" s="314"/>
      <c r="BA7" s="312"/>
      <c r="BB7" s="312"/>
      <c r="BC7" s="312"/>
      <c r="BD7" s="315"/>
      <c r="BE7" s="314"/>
      <c r="BF7" s="312"/>
      <c r="BG7" s="312"/>
      <c r="BH7" s="312"/>
      <c r="BI7" s="315"/>
      <c r="BJ7" s="314"/>
      <c r="BK7" s="312"/>
      <c r="BL7" s="312"/>
      <c r="BM7" s="312"/>
      <c r="BN7" s="315"/>
      <c r="BO7" s="314"/>
      <c r="BP7" s="312"/>
      <c r="BQ7" s="312"/>
      <c r="BR7" s="312"/>
      <c r="BS7" s="315"/>
      <c r="BT7" s="314"/>
      <c r="BU7" s="312"/>
      <c r="BV7" s="312"/>
      <c r="BW7" s="312"/>
      <c r="BX7" s="315"/>
      <c r="BY7" s="314"/>
      <c r="BZ7" s="312"/>
      <c r="CA7" s="312"/>
      <c r="CB7" s="312"/>
      <c r="CC7" s="315"/>
      <c r="CD7" s="314"/>
      <c r="CE7" s="312"/>
      <c r="CF7" s="312"/>
      <c r="CG7" s="312"/>
      <c r="CH7" s="315"/>
      <c r="CI7" s="314"/>
      <c r="CJ7" s="312"/>
      <c r="CK7" s="312"/>
      <c r="CL7" s="312"/>
      <c r="CM7" s="315"/>
      <c r="CN7" s="314"/>
      <c r="CO7" s="312"/>
      <c r="CP7" s="312"/>
      <c r="CQ7" s="312"/>
      <c r="CR7" s="315"/>
      <c r="CS7" s="314"/>
      <c r="CT7" s="312"/>
      <c r="CU7" s="312"/>
      <c r="CV7" s="312"/>
      <c r="CW7" s="315"/>
      <c r="CX7" s="314"/>
      <c r="CY7" s="312"/>
      <c r="CZ7" s="312"/>
      <c r="DA7" s="312"/>
      <c r="DB7" s="315"/>
      <c r="DC7" s="314"/>
      <c r="DD7" s="312"/>
      <c r="DE7" s="312"/>
      <c r="DF7" s="312"/>
      <c r="DG7" s="313"/>
      <c r="DH7" s="314"/>
      <c r="DI7" s="312"/>
      <c r="DJ7" s="312"/>
      <c r="DK7" s="312"/>
      <c r="DL7" s="313"/>
      <c r="DM7" s="305">
        <f>COUNTIF($G$7:$DL$7,"/")</f>
        <v>0</v>
      </c>
      <c r="DN7" s="305">
        <f>COUNTIF($G$7:$DL$7,"ป")</f>
        <v>0</v>
      </c>
      <c r="DO7" s="305">
        <f>COUNTIF($G$7:$DL$7,"ล")</f>
        <v>0</v>
      </c>
      <c r="DP7" s="305">
        <f>COUNTIF($G$7:$DL$7,"ข")</f>
        <v>0</v>
      </c>
      <c r="DQ7" s="304" t="e">
        <f>(DM7*100)/DR7</f>
        <v>#DIV/0!</v>
      </c>
      <c r="DR7" s="355">
        <f t="shared" ref="DR7:DR55" si="0">COUNTA($G$5:$DL$5)</f>
        <v>0</v>
      </c>
      <c r="DU7" s="140" t="s">
        <v>174</v>
      </c>
      <c r="DV7" s="175">
        <v>7</v>
      </c>
      <c r="DW7" s="175">
        <v>7</v>
      </c>
    </row>
    <row r="8" spans="1:128" ht="18" customHeight="1" x14ac:dyDescent="0.3">
      <c r="A8" s="309">
        <f>ปพ.5!$A$8</f>
        <v>3</v>
      </c>
      <c r="B8" s="322" t="str">
        <f>ปพ.5!$B$8</f>
        <v>6668</v>
      </c>
      <c r="C8" s="352" t="str">
        <f>ปพ.5!$C$8</f>
        <v>1103200242431</v>
      </c>
      <c r="D8" s="582" t="str">
        <f>ปพ.5!$D$8</f>
        <v>เด็กชาย ธนกฤต  เที่ยงตรงดี</v>
      </c>
      <c r="E8" s="583"/>
      <c r="F8" s="584"/>
      <c r="G8" s="311"/>
      <c r="H8" s="312"/>
      <c r="I8" s="312"/>
      <c r="J8" s="312"/>
      <c r="K8" s="313"/>
      <c r="L8" s="314"/>
      <c r="M8" s="312"/>
      <c r="N8" s="312"/>
      <c r="O8" s="312"/>
      <c r="P8" s="315"/>
      <c r="Q8" s="314"/>
      <c r="R8" s="312"/>
      <c r="S8" s="312"/>
      <c r="T8" s="312"/>
      <c r="U8" s="315"/>
      <c r="V8" s="314"/>
      <c r="W8" s="312"/>
      <c r="X8" s="312"/>
      <c r="Y8" s="312"/>
      <c r="Z8" s="315"/>
      <c r="AA8" s="314"/>
      <c r="AB8" s="312"/>
      <c r="AC8" s="312"/>
      <c r="AD8" s="312"/>
      <c r="AE8" s="315"/>
      <c r="AF8" s="314"/>
      <c r="AG8" s="312"/>
      <c r="AH8" s="312"/>
      <c r="AI8" s="312"/>
      <c r="AJ8" s="315"/>
      <c r="AK8" s="314"/>
      <c r="AL8" s="312"/>
      <c r="AM8" s="312"/>
      <c r="AN8" s="312"/>
      <c r="AO8" s="315"/>
      <c r="AP8" s="314"/>
      <c r="AQ8" s="312"/>
      <c r="AR8" s="312"/>
      <c r="AS8" s="312"/>
      <c r="AT8" s="315"/>
      <c r="AU8" s="314"/>
      <c r="AV8" s="312"/>
      <c r="AW8" s="312"/>
      <c r="AX8" s="312"/>
      <c r="AY8" s="315"/>
      <c r="AZ8" s="314"/>
      <c r="BA8" s="312"/>
      <c r="BB8" s="312"/>
      <c r="BC8" s="312"/>
      <c r="BD8" s="315"/>
      <c r="BE8" s="314"/>
      <c r="BF8" s="312"/>
      <c r="BG8" s="312"/>
      <c r="BH8" s="312"/>
      <c r="BI8" s="315"/>
      <c r="BJ8" s="314"/>
      <c r="BK8" s="312"/>
      <c r="BL8" s="312"/>
      <c r="BM8" s="312"/>
      <c r="BN8" s="315"/>
      <c r="BO8" s="314"/>
      <c r="BP8" s="312"/>
      <c r="BQ8" s="312"/>
      <c r="BR8" s="312"/>
      <c r="BS8" s="315"/>
      <c r="BT8" s="314"/>
      <c r="BU8" s="312"/>
      <c r="BV8" s="312"/>
      <c r="BW8" s="312"/>
      <c r="BX8" s="315"/>
      <c r="BY8" s="314"/>
      <c r="BZ8" s="312"/>
      <c r="CA8" s="312"/>
      <c r="CB8" s="312"/>
      <c r="CC8" s="315"/>
      <c r="CD8" s="314"/>
      <c r="CE8" s="312"/>
      <c r="CF8" s="312"/>
      <c r="CG8" s="312"/>
      <c r="CH8" s="315"/>
      <c r="CI8" s="314"/>
      <c r="CJ8" s="312"/>
      <c r="CK8" s="312"/>
      <c r="CL8" s="312"/>
      <c r="CM8" s="315"/>
      <c r="CN8" s="314"/>
      <c r="CO8" s="312"/>
      <c r="CP8" s="312"/>
      <c r="CQ8" s="312"/>
      <c r="CR8" s="315"/>
      <c r="CS8" s="314"/>
      <c r="CT8" s="312"/>
      <c r="CU8" s="312"/>
      <c r="CV8" s="312"/>
      <c r="CW8" s="315"/>
      <c r="CX8" s="314"/>
      <c r="CY8" s="312"/>
      <c r="CZ8" s="312"/>
      <c r="DA8" s="312"/>
      <c r="DB8" s="315"/>
      <c r="DC8" s="314"/>
      <c r="DD8" s="312"/>
      <c r="DE8" s="312"/>
      <c r="DF8" s="312"/>
      <c r="DG8" s="313"/>
      <c r="DH8" s="314"/>
      <c r="DI8" s="312"/>
      <c r="DJ8" s="312"/>
      <c r="DK8" s="312"/>
      <c r="DL8" s="313"/>
      <c r="DM8" s="305">
        <f>COUNTIF($G$8:$DL$8,"/")</f>
        <v>0</v>
      </c>
      <c r="DN8" s="305">
        <f>COUNTIF($G$8:$DL$8,"ป")</f>
        <v>0</v>
      </c>
      <c r="DO8" s="305">
        <f>COUNTIF($G$8:$DL$8,"ล")</f>
        <v>0</v>
      </c>
      <c r="DP8" s="305">
        <f>COUNTIF($G$8:$DL$8,"ข")</f>
        <v>0</v>
      </c>
      <c r="DQ8" s="304" t="e">
        <f t="shared" ref="DQ8:DQ55" si="1">(DM8*100)/DR8</f>
        <v>#DIV/0!</v>
      </c>
      <c r="DR8" s="355">
        <f t="shared" si="0"/>
        <v>0</v>
      </c>
      <c r="DU8" s="140" t="s">
        <v>167</v>
      </c>
      <c r="DV8" s="175">
        <v>8</v>
      </c>
      <c r="DW8" s="175">
        <v>8</v>
      </c>
    </row>
    <row r="9" spans="1:128" ht="18" customHeight="1" x14ac:dyDescent="0.3">
      <c r="A9" s="309">
        <f>ปพ.5!$A$9</f>
        <v>4</v>
      </c>
      <c r="B9" s="322" t="str">
        <f>ปพ.5!$B$9</f>
        <v>6669</v>
      </c>
      <c r="C9" s="352" t="str">
        <f>ปพ.5!$C$9</f>
        <v>1100704228022</v>
      </c>
      <c r="D9" s="582" t="str">
        <f>ปพ.5!$D$9</f>
        <v>เด็กชาย พชร  บุญสนอง</v>
      </c>
      <c r="E9" s="583"/>
      <c r="F9" s="584"/>
      <c r="G9" s="311"/>
      <c r="H9" s="312"/>
      <c r="I9" s="312"/>
      <c r="J9" s="312"/>
      <c r="K9" s="313"/>
      <c r="L9" s="314"/>
      <c r="M9" s="312"/>
      <c r="N9" s="312"/>
      <c r="O9" s="312"/>
      <c r="P9" s="315"/>
      <c r="Q9" s="314"/>
      <c r="R9" s="312"/>
      <c r="S9" s="312"/>
      <c r="T9" s="312"/>
      <c r="U9" s="315"/>
      <c r="V9" s="314"/>
      <c r="W9" s="312"/>
      <c r="X9" s="312"/>
      <c r="Y9" s="312"/>
      <c r="Z9" s="315"/>
      <c r="AA9" s="314"/>
      <c r="AB9" s="312"/>
      <c r="AC9" s="312"/>
      <c r="AD9" s="312"/>
      <c r="AE9" s="315"/>
      <c r="AF9" s="314"/>
      <c r="AG9" s="312"/>
      <c r="AH9" s="312"/>
      <c r="AI9" s="312"/>
      <c r="AJ9" s="315"/>
      <c r="AK9" s="314"/>
      <c r="AL9" s="312"/>
      <c r="AM9" s="312"/>
      <c r="AN9" s="312"/>
      <c r="AO9" s="315"/>
      <c r="AP9" s="314"/>
      <c r="AQ9" s="312"/>
      <c r="AR9" s="312"/>
      <c r="AS9" s="312"/>
      <c r="AT9" s="315"/>
      <c r="AU9" s="314"/>
      <c r="AV9" s="312"/>
      <c r="AW9" s="312"/>
      <c r="AX9" s="312"/>
      <c r="AY9" s="315"/>
      <c r="AZ9" s="314"/>
      <c r="BA9" s="312"/>
      <c r="BB9" s="312"/>
      <c r="BC9" s="312"/>
      <c r="BD9" s="315"/>
      <c r="BE9" s="314"/>
      <c r="BF9" s="312"/>
      <c r="BG9" s="312"/>
      <c r="BH9" s="312"/>
      <c r="BI9" s="315"/>
      <c r="BJ9" s="314"/>
      <c r="BK9" s="312"/>
      <c r="BL9" s="312"/>
      <c r="BM9" s="312"/>
      <c r="BN9" s="315"/>
      <c r="BO9" s="314"/>
      <c r="BP9" s="312"/>
      <c r="BQ9" s="312"/>
      <c r="BR9" s="312"/>
      <c r="BS9" s="315"/>
      <c r="BT9" s="314"/>
      <c r="BU9" s="312"/>
      <c r="BV9" s="312"/>
      <c r="BW9" s="312"/>
      <c r="BX9" s="315"/>
      <c r="BY9" s="314"/>
      <c r="BZ9" s="312"/>
      <c r="CA9" s="312"/>
      <c r="CB9" s="312"/>
      <c r="CC9" s="315"/>
      <c r="CD9" s="314"/>
      <c r="CE9" s="312"/>
      <c r="CF9" s="312"/>
      <c r="CG9" s="312"/>
      <c r="CH9" s="315"/>
      <c r="CI9" s="314"/>
      <c r="CJ9" s="312"/>
      <c r="CK9" s="312"/>
      <c r="CL9" s="312"/>
      <c r="CM9" s="315"/>
      <c r="CN9" s="314"/>
      <c r="CO9" s="312"/>
      <c r="CP9" s="312"/>
      <c r="CQ9" s="312"/>
      <c r="CR9" s="315"/>
      <c r="CS9" s="314"/>
      <c r="CT9" s="312"/>
      <c r="CU9" s="312"/>
      <c r="CV9" s="312"/>
      <c r="CW9" s="315"/>
      <c r="CX9" s="314"/>
      <c r="CY9" s="312"/>
      <c r="CZ9" s="312"/>
      <c r="DA9" s="312"/>
      <c r="DB9" s="315"/>
      <c r="DC9" s="314"/>
      <c r="DD9" s="312"/>
      <c r="DE9" s="312"/>
      <c r="DF9" s="312"/>
      <c r="DG9" s="313"/>
      <c r="DH9" s="314"/>
      <c r="DI9" s="312"/>
      <c r="DJ9" s="312"/>
      <c r="DK9" s="312"/>
      <c r="DL9" s="313"/>
      <c r="DM9" s="305">
        <f>COUNTIF($G$9:$DL$9,"7")</f>
        <v>0</v>
      </c>
      <c r="DN9" s="305">
        <f>COUNTIF($G$9:$DL$9,"ป")</f>
        <v>0</v>
      </c>
      <c r="DO9" s="305">
        <f>COUNTIF($G$9:$DL$9,"ล")</f>
        <v>0</v>
      </c>
      <c r="DP9" s="305">
        <f>COUNTIF($G$9:$DL$9,"ข")</f>
        <v>0</v>
      </c>
      <c r="DQ9" s="304" t="e">
        <f t="shared" si="1"/>
        <v>#DIV/0!</v>
      </c>
      <c r="DR9" s="355">
        <f t="shared" si="0"/>
        <v>0</v>
      </c>
      <c r="DU9" s="140" t="s">
        <v>175</v>
      </c>
      <c r="DV9" s="175">
        <v>9</v>
      </c>
      <c r="DW9" s="175">
        <v>9</v>
      </c>
    </row>
    <row r="10" spans="1:128" ht="18" customHeight="1" x14ac:dyDescent="0.3">
      <c r="A10" s="309">
        <f>ปพ.5!$A$10</f>
        <v>5</v>
      </c>
      <c r="B10" s="322" t="str">
        <f>ปพ.5!$B$10</f>
        <v>6670</v>
      </c>
      <c r="C10" s="352" t="str">
        <f>ปพ.5!$C$10</f>
        <v>1100704246624</v>
      </c>
      <c r="D10" s="582" t="str">
        <f>ปพ.5!$D$10</f>
        <v>เด็กชาย รัชชากร  ผลนา</v>
      </c>
      <c r="E10" s="583"/>
      <c r="F10" s="584"/>
      <c r="G10" s="311"/>
      <c r="H10" s="312"/>
      <c r="I10" s="312"/>
      <c r="J10" s="312"/>
      <c r="K10" s="313"/>
      <c r="L10" s="314"/>
      <c r="M10" s="312"/>
      <c r="N10" s="312"/>
      <c r="O10" s="312"/>
      <c r="P10" s="315"/>
      <c r="Q10" s="314"/>
      <c r="R10" s="312"/>
      <c r="S10" s="312"/>
      <c r="T10" s="312"/>
      <c r="U10" s="315"/>
      <c r="V10" s="314"/>
      <c r="W10" s="312"/>
      <c r="X10" s="312"/>
      <c r="Y10" s="312"/>
      <c r="Z10" s="315"/>
      <c r="AA10" s="314"/>
      <c r="AB10" s="312"/>
      <c r="AC10" s="312"/>
      <c r="AD10" s="312"/>
      <c r="AE10" s="315"/>
      <c r="AF10" s="314"/>
      <c r="AG10" s="312"/>
      <c r="AH10" s="312"/>
      <c r="AI10" s="312"/>
      <c r="AJ10" s="315"/>
      <c r="AK10" s="314"/>
      <c r="AL10" s="312"/>
      <c r="AM10" s="312"/>
      <c r="AN10" s="312"/>
      <c r="AO10" s="315"/>
      <c r="AP10" s="314"/>
      <c r="AQ10" s="312"/>
      <c r="AR10" s="312"/>
      <c r="AS10" s="312"/>
      <c r="AT10" s="315"/>
      <c r="AU10" s="314"/>
      <c r="AV10" s="312"/>
      <c r="AW10" s="312"/>
      <c r="AX10" s="312"/>
      <c r="AY10" s="315"/>
      <c r="AZ10" s="314"/>
      <c r="BA10" s="312"/>
      <c r="BB10" s="312"/>
      <c r="BC10" s="312"/>
      <c r="BD10" s="315"/>
      <c r="BE10" s="314"/>
      <c r="BF10" s="312"/>
      <c r="BG10" s="312"/>
      <c r="BH10" s="312"/>
      <c r="BI10" s="315"/>
      <c r="BJ10" s="314"/>
      <c r="BK10" s="312"/>
      <c r="BL10" s="312"/>
      <c r="BM10" s="312"/>
      <c r="BN10" s="315"/>
      <c r="BO10" s="314"/>
      <c r="BP10" s="312"/>
      <c r="BQ10" s="312"/>
      <c r="BR10" s="312"/>
      <c r="BS10" s="315"/>
      <c r="BT10" s="314"/>
      <c r="BU10" s="312"/>
      <c r="BV10" s="312"/>
      <c r="BW10" s="312"/>
      <c r="BX10" s="315"/>
      <c r="BY10" s="314"/>
      <c r="BZ10" s="312"/>
      <c r="CA10" s="312"/>
      <c r="CB10" s="312"/>
      <c r="CC10" s="315"/>
      <c r="CD10" s="314"/>
      <c r="CE10" s="312"/>
      <c r="CF10" s="312"/>
      <c r="CG10" s="312"/>
      <c r="CH10" s="315"/>
      <c r="CI10" s="314"/>
      <c r="CJ10" s="312"/>
      <c r="CK10" s="312"/>
      <c r="CL10" s="312"/>
      <c r="CM10" s="315"/>
      <c r="CN10" s="314"/>
      <c r="CO10" s="312"/>
      <c r="CP10" s="312"/>
      <c r="CQ10" s="312"/>
      <c r="CR10" s="315"/>
      <c r="CS10" s="314"/>
      <c r="CT10" s="312"/>
      <c r="CU10" s="312"/>
      <c r="CV10" s="312"/>
      <c r="CW10" s="315"/>
      <c r="CX10" s="314"/>
      <c r="CY10" s="312"/>
      <c r="CZ10" s="312"/>
      <c r="DA10" s="312"/>
      <c r="DB10" s="315"/>
      <c r="DC10" s="314"/>
      <c r="DD10" s="312"/>
      <c r="DE10" s="312"/>
      <c r="DF10" s="312"/>
      <c r="DG10" s="313"/>
      <c r="DH10" s="314"/>
      <c r="DI10" s="312"/>
      <c r="DJ10" s="312"/>
      <c r="DK10" s="312"/>
      <c r="DL10" s="313"/>
      <c r="DM10" s="305">
        <f>COUNTIF($G$10:$DL$10,"/")</f>
        <v>0</v>
      </c>
      <c r="DN10" s="305">
        <f>COUNTIF($G$10:$DL$10,"ป")</f>
        <v>0</v>
      </c>
      <c r="DO10" s="305">
        <f>COUNTIF($G$10:$DL$10,"ล")</f>
        <v>0</v>
      </c>
      <c r="DP10" s="305">
        <f>COUNTIF($G$10:$DL$10,"ข")</f>
        <v>0</v>
      </c>
      <c r="DQ10" s="304" t="e">
        <f t="shared" si="1"/>
        <v>#DIV/0!</v>
      </c>
      <c r="DR10" s="355">
        <f t="shared" si="0"/>
        <v>0</v>
      </c>
      <c r="DU10" s="140" t="s">
        <v>176</v>
      </c>
      <c r="DV10" s="175">
        <v>10</v>
      </c>
      <c r="DW10" s="175">
        <v>10</v>
      </c>
    </row>
    <row r="11" spans="1:128" ht="18" customHeight="1" x14ac:dyDescent="0.3">
      <c r="A11" s="309">
        <f>ปพ.5!$A$11</f>
        <v>6</v>
      </c>
      <c r="B11" s="322" t="str">
        <f>ปพ.5!$B$11</f>
        <v>6678</v>
      </c>
      <c r="C11" s="352" t="str">
        <f>ปพ.5!$C$11</f>
        <v>1103200213059</v>
      </c>
      <c r="D11" s="582" t="str">
        <f>ปพ.5!$D$11</f>
        <v>เด็กชาย อาทิตย์  ก้านมะยุระ</v>
      </c>
      <c r="E11" s="583"/>
      <c r="F11" s="584"/>
      <c r="G11" s="311"/>
      <c r="H11" s="312"/>
      <c r="I11" s="312"/>
      <c r="J11" s="312"/>
      <c r="K11" s="313"/>
      <c r="L11" s="314"/>
      <c r="M11" s="312"/>
      <c r="N11" s="312"/>
      <c r="O11" s="312"/>
      <c r="P11" s="315"/>
      <c r="Q11" s="314"/>
      <c r="R11" s="312"/>
      <c r="S11" s="312"/>
      <c r="T11" s="312"/>
      <c r="U11" s="315"/>
      <c r="V11" s="314"/>
      <c r="W11" s="312"/>
      <c r="X11" s="312"/>
      <c r="Y11" s="312"/>
      <c r="Z11" s="315"/>
      <c r="AA11" s="314"/>
      <c r="AB11" s="312"/>
      <c r="AC11" s="312"/>
      <c r="AD11" s="312"/>
      <c r="AE11" s="315"/>
      <c r="AF11" s="314"/>
      <c r="AG11" s="312"/>
      <c r="AH11" s="312"/>
      <c r="AI11" s="312"/>
      <c r="AJ11" s="315"/>
      <c r="AK11" s="314"/>
      <c r="AL11" s="312"/>
      <c r="AM11" s="312"/>
      <c r="AN11" s="312"/>
      <c r="AO11" s="315"/>
      <c r="AP11" s="314"/>
      <c r="AQ11" s="312"/>
      <c r="AR11" s="312"/>
      <c r="AS11" s="312"/>
      <c r="AT11" s="315"/>
      <c r="AU11" s="314"/>
      <c r="AV11" s="312"/>
      <c r="AW11" s="312"/>
      <c r="AX11" s="312"/>
      <c r="AY11" s="315"/>
      <c r="AZ11" s="314"/>
      <c r="BA11" s="312"/>
      <c r="BB11" s="312"/>
      <c r="BC11" s="312"/>
      <c r="BD11" s="315"/>
      <c r="BE11" s="314"/>
      <c r="BF11" s="312"/>
      <c r="BG11" s="312"/>
      <c r="BH11" s="312"/>
      <c r="BI11" s="315"/>
      <c r="BJ11" s="314"/>
      <c r="BK11" s="312"/>
      <c r="BL11" s="312"/>
      <c r="BM11" s="312"/>
      <c r="BN11" s="315"/>
      <c r="BO11" s="314"/>
      <c r="BP11" s="312"/>
      <c r="BQ11" s="312"/>
      <c r="BR11" s="312"/>
      <c r="BS11" s="315"/>
      <c r="BT11" s="314"/>
      <c r="BU11" s="312"/>
      <c r="BV11" s="312"/>
      <c r="BW11" s="312"/>
      <c r="BX11" s="315"/>
      <c r="BY11" s="314"/>
      <c r="BZ11" s="312"/>
      <c r="CA11" s="312"/>
      <c r="CB11" s="312"/>
      <c r="CC11" s="315"/>
      <c r="CD11" s="314"/>
      <c r="CE11" s="312"/>
      <c r="CF11" s="312"/>
      <c r="CG11" s="312"/>
      <c r="CH11" s="315"/>
      <c r="CI11" s="314"/>
      <c r="CJ11" s="312"/>
      <c r="CK11" s="312"/>
      <c r="CL11" s="312"/>
      <c r="CM11" s="315"/>
      <c r="CN11" s="314"/>
      <c r="CO11" s="312"/>
      <c r="CP11" s="312"/>
      <c r="CQ11" s="312"/>
      <c r="CR11" s="315"/>
      <c r="CS11" s="314"/>
      <c r="CT11" s="312"/>
      <c r="CU11" s="312"/>
      <c r="CV11" s="312"/>
      <c r="CW11" s="315"/>
      <c r="CX11" s="314"/>
      <c r="CY11" s="312"/>
      <c r="CZ11" s="312"/>
      <c r="DA11" s="312"/>
      <c r="DB11" s="315"/>
      <c r="DC11" s="314"/>
      <c r="DD11" s="312"/>
      <c r="DE11" s="312"/>
      <c r="DF11" s="312"/>
      <c r="DG11" s="313"/>
      <c r="DH11" s="314"/>
      <c r="DI11" s="312"/>
      <c r="DJ11" s="312"/>
      <c r="DK11" s="312"/>
      <c r="DL11" s="313"/>
      <c r="DM11" s="305">
        <f>COUNTIF($G$11:$DL$11,"/")</f>
        <v>0</v>
      </c>
      <c r="DN11" s="305">
        <f>COUNTIF($G$11:$DL$11,"ป")</f>
        <v>0</v>
      </c>
      <c r="DO11" s="305">
        <f>COUNTIF($G$11:$DL$11,"ล")</f>
        <v>0</v>
      </c>
      <c r="DP11" s="305">
        <f>COUNTIF($G$11:$DL$11,"ข")</f>
        <v>0</v>
      </c>
      <c r="DQ11" s="304" t="e">
        <f t="shared" si="1"/>
        <v>#DIV/0!</v>
      </c>
      <c r="DR11" s="355">
        <f t="shared" si="0"/>
        <v>0</v>
      </c>
      <c r="DU11" s="140" t="s">
        <v>177</v>
      </c>
      <c r="DV11" s="175">
        <v>11</v>
      </c>
      <c r="DW11" s="175">
        <v>11</v>
      </c>
    </row>
    <row r="12" spans="1:128" ht="18" customHeight="1" x14ac:dyDescent="0.3">
      <c r="A12" s="309">
        <f>ปพ.5!$A$12</f>
        <v>7</v>
      </c>
      <c r="B12" s="322" t="str">
        <f>ปพ.5!$B$12</f>
        <v>6684</v>
      </c>
      <c r="C12" s="352" t="str">
        <f>ปพ.5!$C$12</f>
        <v>1103200214284</v>
      </c>
      <c r="D12" s="582" t="str">
        <f>ปพ.5!$D$12</f>
        <v>เด็กหญิง จิรัชญา  เมฆหมอก</v>
      </c>
      <c r="E12" s="583"/>
      <c r="F12" s="584"/>
      <c r="G12" s="311"/>
      <c r="H12" s="312"/>
      <c r="I12" s="312"/>
      <c r="J12" s="312"/>
      <c r="K12" s="313"/>
      <c r="L12" s="314"/>
      <c r="M12" s="312"/>
      <c r="N12" s="312"/>
      <c r="O12" s="312"/>
      <c r="P12" s="315"/>
      <c r="Q12" s="314"/>
      <c r="R12" s="312"/>
      <c r="S12" s="312"/>
      <c r="T12" s="312"/>
      <c r="U12" s="315"/>
      <c r="V12" s="314"/>
      <c r="W12" s="312"/>
      <c r="X12" s="312"/>
      <c r="Y12" s="312"/>
      <c r="Z12" s="315"/>
      <c r="AA12" s="314"/>
      <c r="AB12" s="312"/>
      <c r="AC12" s="312"/>
      <c r="AD12" s="312"/>
      <c r="AE12" s="315"/>
      <c r="AF12" s="314"/>
      <c r="AG12" s="312"/>
      <c r="AH12" s="312"/>
      <c r="AI12" s="312"/>
      <c r="AJ12" s="315"/>
      <c r="AK12" s="314"/>
      <c r="AL12" s="312"/>
      <c r="AM12" s="312"/>
      <c r="AN12" s="312"/>
      <c r="AO12" s="315"/>
      <c r="AP12" s="314"/>
      <c r="AQ12" s="312"/>
      <c r="AR12" s="312"/>
      <c r="AS12" s="312"/>
      <c r="AT12" s="315"/>
      <c r="AU12" s="314"/>
      <c r="AV12" s="312"/>
      <c r="AW12" s="312"/>
      <c r="AX12" s="312"/>
      <c r="AY12" s="315"/>
      <c r="AZ12" s="314"/>
      <c r="BA12" s="312"/>
      <c r="BB12" s="312"/>
      <c r="BC12" s="312"/>
      <c r="BD12" s="315"/>
      <c r="BE12" s="314"/>
      <c r="BF12" s="312"/>
      <c r="BG12" s="312"/>
      <c r="BH12" s="312"/>
      <c r="BI12" s="315"/>
      <c r="BJ12" s="314"/>
      <c r="BK12" s="312"/>
      <c r="BL12" s="312"/>
      <c r="BM12" s="312"/>
      <c r="BN12" s="315"/>
      <c r="BO12" s="314"/>
      <c r="BP12" s="312"/>
      <c r="BQ12" s="312"/>
      <c r="BR12" s="312"/>
      <c r="BS12" s="315"/>
      <c r="BT12" s="314"/>
      <c r="BU12" s="312"/>
      <c r="BV12" s="312"/>
      <c r="BW12" s="312"/>
      <c r="BX12" s="315"/>
      <c r="BY12" s="314"/>
      <c r="BZ12" s="312"/>
      <c r="CA12" s="312"/>
      <c r="CB12" s="312"/>
      <c r="CC12" s="315"/>
      <c r="CD12" s="314"/>
      <c r="CE12" s="312"/>
      <c r="CF12" s="312"/>
      <c r="CG12" s="312"/>
      <c r="CH12" s="315"/>
      <c r="CI12" s="314"/>
      <c r="CJ12" s="312"/>
      <c r="CK12" s="312"/>
      <c r="CL12" s="312"/>
      <c r="CM12" s="315"/>
      <c r="CN12" s="314"/>
      <c r="CO12" s="312"/>
      <c r="CP12" s="312"/>
      <c r="CQ12" s="312"/>
      <c r="CR12" s="315"/>
      <c r="CS12" s="314"/>
      <c r="CT12" s="312"/>
      <c r="CU12" s="312"/>
      <c r="CV12" s="312"/>
      <c r="CW12" s="315"/>
      <c r="CX12" s="314"/>
      <c r="CY12" s="312"/>
      <c r="CZ12" s="312"/>
      <c r="DA12" s="312"/>
      <c r="DB12" s="315"/>
      <c r="DC12" s="314"/>
      <c r="DD12" s="312"/>
      <c r="DE12" s="312"/>
      <c r="DF12" s="312"/>
      <c r="DG12" s="313"/>
      <c r="DH12" s="314"/>
      <c r="DI12" s="312"/>
      <c r="DJ12" s="312"/>
      <c r="DK12" s="312"/>
      <c r="DL12" s="313"/>
      <c r="DM12" s="305">
        <f>COUNTIF($G$12:$DL$12,"/")</f>
        <v>0</v>
      </c>
      <c r="DN12" s="305">
        <f>COUNTIF($G$12:$DL$12,"ป")</f>
        <v>0</v>
      </c>
      <c r="DO12" s="305">
        <f>COUNTIF($G$12:$DL$12,"ล")</f>
        <v>0</v>
      </c>
      <c r="DP12" s="305">
        <f>COUNTIF($G$12:$DL$12,"ข")</f>
        <v>0</v>
      </c>
      <c r="DQ12" s="304" t="e">
        <f t="shared" si="1"/>
        <v>#DIV/0!</v>
      </c>
      <c r="DR12" s="355">
        <f t="shared" si="0"/>
        <v>0</v>
      </c>
      <c r="DU12" s="140" t="s">
        <v>178</v>
      </c>
      <c r="DV12" s="175">
        <v>12</v>
      </c>
      <c r="DW12" s="175">
        <v>12</v>
      </c>
    </row>
    <row r="13" spans="1:128" ht="18" customHeight="1" x14ac:dyDescent="0.3">
      <c r="A13" s="309">
        <f>ปพ.5!$A$13</f>
        <v>8</v>
      </c>
      <c r="B13" s="322" t="str">
        <f>ปพ.5!$B$13</f>
        <v>6691</v>
      </c>
      <c r="C13" s="352" t="str">
        <f>ปพ.5!$C$13</f>
        <v>1103704638509</v>
      </c>
      <c r="D13" s="582" t="str">
        <f>ปพ.5!$D$13</f>
        <v>เด็กหญิง สิรินทรา  สถิตถาวรกุล</v>
      </c>
      <c r="E13" s="583"/>
      <c r="F13" s="584"/>
      <c r="G13" s="311"/>
      <c r="H13" s="312"/>
      <c r="I13" s="312"/>
      <c r="J13" s="312"/>
      <c r="K13" s="313"/>
      <c r="L13" s="314"/>
      <c r="M13" s="312"/>
      <c r="N13" s="312"/>
      <c r="O13" s="312"/>
      <c r="P13" s="315"/>
      <c r="Q13" s="314"/>
      <c r="R13" s="312"/>
      <c r="S13" s="312"/>
      <c r="T13" s="312"/>
      <c r="U13" s="315"/>
      <c r="V13" s="314"/>
      <c r="W13" s="312"/>
      <c r="X13" s="312"/>
      <c r="Y13" s="312"/>
      <c r="Z13" s="315"/>
      <c r="AA13" s="314"/>
      <c r="AB13" s="312"/>
      <c r="AC13" s="312"/>
      <c r="AD13" s="312"/>
      <c r="AE13" s="315"/>
      <c r="AF13" s="314"/>
      <c r="AG13" s="312"/>
      <c r="AH13" s="312"/>
      <c r="AI13" s="312"/>
      <c r="AJ13" s="315"/>
      <c r="AK13" s="314"/>
      <c r="AL13" s="312"/>
      <c r="AM13" s="312"/>
      <c r="AN13" s="312"/>
      <c r="AO13" s="315"/>
      <c r="AP13" s="314"/>
      <c r="AQ13" s="312"/>
      <c r="AR13" s="312"/>
      <c r="AS13" s="312"/>
      <c r="AT13" s="315"/>
      <c r="AU13" s="314"/>
      <c r="AV13" s="312"/>
      <c r="AW13" s="312"/>
      <c r="AX13" s="312"/>
      <c r="AY13" s="315"/>
      <c r="AZ13" s="314"/>
      <c r="BA13" s="312"/>
      <c r="BB13" s="312"/>
      <c r="BC13" s="312"/>
      <c r="BD13" s="315"/>
      <c r="BE13" s="314"/>
      <c r="BF13" s="312"/>
      <c r="BG13" s="312"/>
      <c r="BH13" s="312"/>
      <c r="BI13" s="315"/>
      <c r="BJ13" s="314"/>
      <c r="BK13" s="312"/>
      <c r="BL13" s="312"/>
      <c r="BM13" s="312"/>
      <c r="BN13" s="315"/>
      <c r="BO13" s="314"/>
      <c r="BP13" s="312"/>
      <c r="BQ13" s="312"/>
      <c r="BR13" s="312"/>
      <c r="BS13" s="315"/>
      <c r="BT13" s="314"/>
      <c r="BU13" s="312"/>
      <c r="BV13" s="312"/>
      <c r="BW13" s="312"/>
      <c r="BX13" s="315"/>
      <c r="BY13" s="314"/>
      <c r="BZ13" s="312"/>
      <c r="CA13" s="312"/>
      <c r="CB13" s="312"/>
      <c r="CC13" s="315"/>
      <c r="CD13" s="314"/>
      <c r="CE13" s="312"/>
      <c r="CF13" s="312"/>
      <c r="CG13" s="312"/>
      <c r="CH13" s="315"/>
      <c r="CI13" s="314"/>
      <c r="CJ13" s="312"/>
      <c r="CK13" s="312"/>
      <c r="CL13" s="312"/>
      <c r="CM13" s="315"/>
      <c r="CN13" s="314"/>
      <c r="CO13" s="312"/>
      <c r="CP13" s="312"/>
      <c r="CQ13" s="312"/>
      <c r="CR13" s="315"/>
      <c r="CS13" s="314"/>
      <c r="CT13" s="312"/>
      <c r="CU13" s="312"/>
      <c r="CV13" s="312"/>
      <c r="CW13" s="315"/>
      <c r="CX13" s="314"/>
      <c r="CY13" s="312"/>
      <c r="CZ13" s="312"/>
      <c r="DA13" s="312"/>
      <c r="DB13" s="315"/>
      <c r="DC13" s="314"/>
      <c r="DD13" s="312"/>
      <c r="DE13" s="312"/>
      <c r="DF13" s="312"/>
      <c r="DG13" s="313"/>
      <c r="DH13" s="314"/>
      <c r="DI13" s="312"/>
      <c r="DJ13" s="312"/>
      <c r="DK13" s="312"/>
      <c r="DL13" s="313"/>
      <c r="DM13" s="305">
        <f>COUNTIF($G$13:$DL$13,"/")</f>
        <v>0</v>
      </c>
      <c r="DN13" s="305">
        <f>COUNTIF($G$13:$DL$13,"ป")</f>
        <v>0</v>
      </c>
      <c r="DO13" s="305">
        <f>COUNTIF($G$13:$DL$13,"ล")</f>
        <v>0</v>
      </c>
      <c r="DP13" s="305">
        <f>COUNTIF($G$13:$DL$13,"ข")</f>
        <v>0</v>
      </c>
      <c r="DQ13" s="304" t="e">
        <f t="shared" si="1"/>
        <v>#DIV/0!</v>
      </c>
      <c r="DR13" s="355">
        <f t="shared" si="0"/>
        <v>0</v>
      </c>
      <c r="DU13" s="140" t="s">
        <v>179</v>
      </c>
      <c r="DV13" s="175">
        <v>13</v>
      </c>
      <c r="DW13" s="175">
        <v>13</v>
      </c>
    </row>
    <row r="14" spans="1:128" ht="18" customHeight="1" x14ac:dyDescent="0.3">
      <c r="A14" s="309">
        <f>ปพ.5!$A$14</f>
        <v>9</v>
      </c>
      <c r="B14" s="322" t="str">
        <f>ปพ.5!$B$14</f>
        <v>6692</v>
      </c>
      <c r="C14" s="352" t="str">
        <f>ปพ.5!$C$14</f>
        <v>1100704257961</v>
      </c>
      <c r="D14" s="582" t="str">
        <f>ปพ.5!$D$14</f>
        <v>เด็กชาย ก้องเกียรติ  เจริญพร</v>
      </c>
      <c r="E14" s="583"/>
      <c r="F14" s="584"/>
      <c r="G14" s="311"/>
      <c r="H14" s="312"/>
      <c r="I14" s="312"/>
      <c r="J14" s="312"/>
      <c r="K14" s="313"/>
      <c r="L14" s="314"/>
      <c r="M14" s="312"/>
      <c r="N14" s="312"/>
      <c r="O14" s="312"/>
      <c r="P14" s="315"/>
      <c r="Q14" s="314"/>
      <c r="R14" s="312"/>
      <c r="S14" s="312"/>
      <c r="T14" s="312"/>
      <c r="U14" s="315"/>
      <c r="V14" s="314"/>
      <c r="W14" s="312"/>
      <c r="X14" s="312"/>
      <c r="Y14" s="312"/>
      <c r="Z14" s="315"/>
      <c r="AA14" s="314"/>
      <c r="AB14" s="312"/>
      <c r="AC14" s="312"/>
      <c r="AD14" s="312"/>
      <c r="AE14" s="315"/>
      <c r="AF14" s="314"/>
      <c r="AG14" s="312"/>
      <c r="AH14" s="312"/>
      <c r="AI14" s="312"/>
      <c r="AJ14" s="315"/>
      <c r="AK14" s="314"/>
      <c r="AL14" s="312"/>
      <c r="AM14" s="312"/>
      <c r="AN14" s="312"/>
      <c r="AO14" s="315"/>
      <c r="AP14" s="314"/>
      <c r="AQ14" s="312"/>
      <c r="AR14" s="312"/>
      <c r="AS14" s="312"/>
      <c r="AT14" s="315"/>
      <c r="AU14" s="314"/>
      <c r="AV14" s="312"/>
      <c r="AW14" s="312"/>
      <c r="AX14" s="312"/>
      <c r="AY14" s="315"/>
      <c r="AZ14" s="314"/>
      <c r="BA14" s="312"/>
      <c r="BB14" s="312"/>
      <c r="BC14" s="312"/>
      <c r="BD14" s="315"/>
      <c r="BE14" s="314"/>
      <c r="BF14" s="312"/>
      <c r="BG14" s="312"/>
      <c r="BH14" s="312"/>
      <c r="BI14" s="315"/>
      <c r="BJ14" s="314"/>
      <c r="BK14" s="312"/>
      <c r="BL14" s="312"/>
      <c r="BM14" s="312"/>
      <c r="BN14" s="315"/>
      <c r="BO14" s="314"/>
      <c r="BP14" s="312"/>
      <c r="BQ14" s="312"/>
      <c r="BR14" s="312"/>
      <c r="BS14" s="315"/>
      <c r="BT14" s="314"/>
      <c r="BU14" s="312"/>
      <c r="BV14" s="312"/>
      <c r="BW14" s="312"/>
      <c r="BX14" s="315"/>
      <c r="BY14" s="314"/>
      <c r="BZ14" s="312"/>
      <c r="CA14" s="312"/>
      <c r="CB14" s="312"/>
      <c r="CC14" s="315"/>
      <c r="CD14" s="314"/>
      <c r="CE14" s="312"/>
      <c r="CF14" s="312"/>
      <c r="CG14" s="312"/>
      <c r="CH14" s="315"/>
      <c r="CI14" s="314"/>
      <c r="CJ14" s="312"/>
      <c r="CK14" s="312"/>
      <c r="CL14" s="312"/>
      <c r="CM14" s="315"/>
      <c r="CN14" s="314"/>
      <c r="CO14" s="312"/>
      <c r="CP14" s="312"/>
      <c r="CQ14" s="312"/>
      <c r="CR14" s="315"/>
      <c r="CS14" s="314"/>
      <c r="CT14" s="312"/>
      <c r="CU14" s="312"/>
      <c r="CV14" s="312"/>
      <c r="CW14" s="315"/>
      <c r="CX14" s="314"/>
      <c r="CY14" s="312"/>
      <c r="CZ14" s="312"/>
      <c r="DA14" s="312"/>
      <c r="DB14" s="315"/>
      <c r="DC14" s="314"/>
      <c r="DD14" s="312"/>
      <c r="DE14" s="312"/>
      <c r="DF14" s="312"/>
      <c r="DG14" s="313"/>
      <c r="DH14" s="314"/>
      <c r="DI14" s="312"/>
      <c r="DJ14" s="312"/>
      <c r="DK14" s="312"/>
      <c r="DL14" s="313"/>
      <c r="DM14" s="305">
        <f>COUNTIF($G$14:$DL$14,"/")</f>
        <v>0</v>
      </c>
      <c r="DN14" s="305">
        <f>COUNTIF($G$14:$DL$14,"ป")</f>
        <v>0</v>
      </c>
      <c r="DO14" s="305">
        <f>COUNTIF($G$14:$DL$14,"ล")</f>
        <v>0</v>
      </c>
      <c r="DP14" s="305">
        <f>COUNTIF($G$14:$DL$14,"ข")</f>
        <v>0</v>
      </c>
      <c r="DQ14" s="304" t="e">
        <f t="shared" si="1"/>
        <v>#DIV/0!</v>
      </c>
      <c r="DR14" s="355">
        <f t="shared" si="0"/>
        <v>0</v>
      </c>
      <c r="DU14" s="140" t="s">
        <v>180</v>
      </c>
      <c r="DV14" s="175">
        <v>14</v>
      </c>
      <c r="DW14" s="175">
        <v>14</v>
      </c>
    </row>
    <row r="15" spans="1:128" ht="18" customHeight="1" x14ac:dyDescent="0.3">
      <c r="A15" s="309">
        <f>ปพ.5!$A$15</f>
        <v>10</v>
      </c>
      <c r="B15" s="322" t="str">
        <f>ปพ.5!$B$15</f>
        <v>6703</v>
      </c>
      <c r="C15" s="352" t="str">
        <f>ปพ.5!$C$15</f>
        <v>1469900901058</v>
      </c>
      <c r="D15" s="582" t="str">
        <f>ปพ.5!$D$15</f>
        <v>เด็กชาย ศิริชัย  ไวยัง</v>
      </c>
      <c r="E15" s="583"/>
      <c r="F15" s="584"/>
      <c r="G15" s="311"/>
      <c r="H15" s="312"/>
      <c r="I15" s="312"/>
      <c r="J15" s="312"/>
      <c r="K15" s="313"/>
      <c r="L15" s="314"/>
      <c r="M15" s="312"/>
      <c r="N15" s="312"/>
      <c r="O15" s="312"/>
      <c r="P15" s="315"/>
      <c r="Q15" s="314"/>
      <c r="R15" s="312"/>
      <c r="S15" s="312"/>
      <c r="T15" s="312"/>
      <c r="U15" s="315"/>
      <c r="V15" s="314"/>
      <c r="W15" s="312"/>
      <c r="X15" s="312"/>
      <c r="Y15" s="312"/>
      <c r="Z15" s="315"/>
      <c r="AA15" s="314"/>
      <c r="AB15" s="312"/>
      <c r="AC15" s="312"/>
      <c r="AD15" s="312"/>
      <c r="AE15" s="315"/>
      <c r="AF15" s="314"/>
      <c r="AG15" s="312"/>
      <c r="AH15" s="312"/>
      <c r="AI15" s="312"/>
      <c r="AJ15" s="315"/>
      <c r="AK15" s="314"/>
      <c r="AL15" s="312"/>
      <c r="AM15" s="312"/>
      <c r="AN15" s="312"/>
      <c r="AO15" s="315"/>
      <c r="AP15" s="314"/>
      <c r="AQ15" s="312"/>
      <c r="AR15" s="312"/>
      <c r="AS15" s="312"/>
      <c r="AT15" s="315"/>
      <c r="AU15" s="314"/>
      <c r="AV15" s="312"/>
      <c r="AW15" s="312"/>
      <c r="AX15" s="312"/>
      <c r="AY15" s="315"/>
      <c r="AZ15" s="314"/>
      <c r="BA15" s="312"/>
      <c r="BB15" s="312"/>
      <c r="BC15" s="312"/>
      <c r="BD15" s="315"/>
      <c r="BE15" s="314"/>
      <c r="BF15" s="312"/>
      <c r="BG15" s="312"/>
      <c r="BH15" s="312"/>
      <c r="BI15" s="315"/>
      <c r="BJ15" s="314"/>
      <c r="BK15" s="312"/>
      <c r="BL15" s="312"/>
      <c r="BM15" s="312"/>
      <c r="BN15" s="315"/>
      <c r="BO15" s="314"/>
      <c r="BP15" s="312"/>
      <c r="BQ15" s="312"/>
      <c r="BR15" s="312"/>
      <c r="BS15" s="315"/>
      <c r="BT15" s="314"/>
      <c r="BU15" s="312"/>
      <c r="BV15" s="312"/>
      <c r="BW15" s="312"/>
      <c r="BX15" s="315"/>
      <c r="BY15" s="314"/>
      <c r="BZ15" s="312"/>
      <c r="CA15" s="312"/>
      <c r="CB15" s="312"/>
      <c r="CC15" s="315"/>
      <c r="CD15" s="314"/>
      <c r="CE15" s="312"/>
      <c r="CF15" s="312"/>
      <c r="CG15" s="312"/>
      <c r="CH15" s="315"/>
      <c r="CI15" s="314"/>
      <c r="CJ15" s="312"/>
      <c r="CK15" s="312"/>
      <c r="CL15" s="312"/>
      <c r="CM15" s="315"/>
      <c r="CN15" s="314"/>
      <c r="CO15" s="312"/>
      <c r="CP15" s="312"/>
      <c r="CQ15" s="312"/>
      <c r="CR15" s="315"/>
      <c r="CS15" s="314"/>
      <c r="CT15" s="312"/>
      <c r="CU15" s="312"/>
      <c r="CV15" s="312"/>
      <c r="CW15" s="315"/>
      <c r="CX15" s="314"/>
      <c r="CY15" s="312"/>
      <c r="CZ15" s="312"/>
      <c r="DA15" s="312"/>
      <c r="DB15" s="315"/>
      <c r="DC15" s="314"/>
      <c r="DD15" s="312"/>
      <c r="DE15" s="312"/>
      <c r="DF15" s="312"/>
      <c r="DG15" s="313"/>
      <c r="DH15" s="314"/>
      <c r="DI15" s="312"/>
      <c r="DJ15" s="312"/>
      <c r="DK15" s="312"/>
      <c r="DL15" s="313"/>
      <c r="DM15" s="305">
        <f>COUNTIF($G$15:$DL$15,"/")</f>
        <v>0</v>
      </c>
      <c r="DN15" s="305">
        <f>COUNTIF($G$15:$DL$15,"ป")</f>
        <v>0</v>
      </c>
      <c r="DO15" s="305">
        <f>COUNTIF($G$15:$DL$15,"ล")</f>
        <v>0</v>
      </c>
      <c r="DP15" s="305">
        <f>COUNTIF($G$15:$DL$15,"ข")</f>
        <v>0</v>
      </c>
      <c r="DQ15" s="304" t="e">
        <f t="shared" si="1"/>
        <v>#DIV/0!</v>
      </c>
      <c r="DR15" s="355">
        <f t="shared" si="0"/>
        <v>0</v>
      </c>
      <c r="DU15" s="140" t="s">
        <v>181</v>
      </c>
      <c r="DV15" s="175">
        <v>15</v>
      </c>
      <c r="DW15" s="175">
        <v>15</v>
      </c>
    </row>
    <row r="16" spans="1:128" ht="18" customHeight="1" x14ac:dyDescent="0.3">
      <c r="A16" s="309">
        <f>ปพ.5!$A$16</f>
        <v>11</v>
      </c>
      <c r="B16" s="322" t="str">
        <f>ปพ.5!$B$16</f>
        <v>6704</v>
      </c>
      <c r="C16" s="352" t="str">
        <f>ปพ.5!$C$16</f>
        <v>1100704206819</v>
      </c>
      <c r="D16" s="582" t="str">
        <f>ปพ.5!$D$16</f>
        <v>เด็กชาย ธนกฤต  ถนอมต่วน</v>
      </c>
      <c r="E16" s="583"/>
      <c r="F16" s="584"/>
      <c r="G16" s="311"/>
      <c r="H16" s="312"/>
      <c r="I16" s="312"/>
      <c r="J16" s="312"/>
      <c r="K16" s="313"/>
      <c r="L16" s="314"/>
      <c r="M16" s="312"/>
      <c r="N16" s="312"/>
      <c r="O16" s="312"/>
      <c r="P16" s="315"/>
      <c r="Q16" s="314"/>
      <c r="R16" s="312"/>
      <c r="S16" s="312"/>
      <c r="T16" s="312"/>
      <c r="U16" s="315"/>
      <c r="V16" s="314"/>
      <c r="W16" s="312"/>
      <c r="X16" s="312"/>
      <c r="Y16" s="312"/>
      <c r="Z16" s="315"/>
      <c r="AA16" s="314"/>
      <c r="AB16" s="312"/>
      <c r="AC16" s="312"/>
      <c r="AD16" s="312"/>
      <c r="AE16" s="315"/>
      <c r="AF16" s="314"/>
      <c r="AG16" s="312"/>
      <c r="AH16" s="312"/>
      <c r="AI16" s="312"/>
      <c r="AJ16" s="315"/>
      <c r="AK16" s="314"/>
      <c r="AL16" s="312"/>
      <c r="AM16" s="312"/>
      <c r="AN16" s="312"/>
      <c r="AO16" s="315"/>
      <c r="AP16" s="314"/>
      <c r="AQ16" s="312"/>
      <c r="AR16" s="312"/>
      <c r="AS16" s="312"/>
      <c r="AT16" s="315"/>
      <c r="AU16" s="314"/>
      <c r="AV16" s="312"/>
      <c r="AW16" s="312"/>
      <c r="AX16" s="312"/>
      <c r="AY16" s="315"/>
      <c r="AZ16" s="314"/>
      <c r="BA16" s="312"/>
      <c r="BB16" s="312"/>
      <c r="BC16" s="312"/>
      <c r="BD16" s="315"/>
      <c r="BE16" s="314"/>
      <c r="BF16" s="312"/>
      <c r="BG16" s="312"/>
      <c r="BH16" s="312"/>
      <c r="BI16" s="315"/>
      <c r="BJ16" s="314"/>
      <c r="BK16" s="312"/>
      <c r="BL16" s="312"/>
      <c r="BM16" s="312"/>
      <c r="BN16" s="315"/>
      <c r="BO16" s="314"/>
      <c r="BP16" s="312"/>
      <c r="BQ16" s="312"/>
      <c r="BR16" s="312"/>
      <c r="BS16" s="315"/>
      <c r="BT16" s="314"/>
      <c r="BU16" s="312"/>
      <c r="BV16" s="312"/>
      <c r="BW16" s="312"/>
      <c r="BX16" s="315"/>
      <c r="BY16" s="314"/>
      <c r="BZ16" s="312"/>
      <c r="CA16" s="312"/>
      <c r="CB16" s="312"/>
      <c r="CC16" s="315"/>
      <c r="CD16" s="314"/>
      <c r="CE16" s="312"/>
      <c r="CF16" s="312"/>
      <c r="CG16" s="312"/>
      <c r="CH16" s="315"/>
      <c r="CI16" s="314"/>
      <c r="CJ16" s="312"/>
      <c r="CK16" s="312"/>
      <c r="CL16" s="312"/>
      <c r="CM16" s="315"/>
      <c r="CN16" s="314"/>
      <c r="CO16" s="312"/>
      <c r="CP16" s="312"/>
      <c r="CQ16" s="312"/>
      <c r="CR16" s="315"/>
      <c r="CS16" s="314"/>
      <c r="CT16" s="312"/>
      <c r="CU16" s="312"/>
      <c r="CV16" s="312"/>
      <c r="CW16" s="315"/>
      <c r="CX16" s="314"/>
      <c r="CY16" s="312"/>
      <c r="CZ16" s="312"/>
      <c r="DA16" s="312"/>
      <c r="DB16" s="315"/>
      <c r="DC16" s="314"/>
      <c r="DD16" s="312"/>
      <c r="DE16" s="312"/>
      <c r="DF16" s="312"/>
      <c r="DG16" s="313"/>
      <c r="DH16" s="314"/>
      <c r="DI16" s="312"/>
      <c r="DJ16" s="312"/>
      <c r="DK16" s="312"/>
      <c r="DL16" s="313"/>
      <c r="DM16" s="305">
        <f>COUNTIF($G$16:$DL$16,"/")</f>
        <v>0</v>
      </c>
      <c r="DN16" s="305">
        <f>COUNTIF($G$16:$DL$16,"ป")</f>
        <v>0</v>
      </c>
      <c r="DO16" s="305">
        <f>COUNTIF($G$16:$DL$16,"ล")</f>
        <v>0</v>
      </c>
      <c r="DP16" s="305">
        <f>COUNTIF($G$16:$DL$16,"ข")</f>
        <v>0</v>
      </c>
      <c r="DQ16" s="304" t="e">
        <f t="shared" si="1"/>
        <v>#DIV/0!</v>
      </c>
      <c r="DR16" s="355">
        <f t="shared" si="0"/>
        <v>0</v>
      </c>
      <c r="DU16" s="140" t="s">
        <v>182</v>
      </c>
      <c r="DV16" s="175">
        <v>16</v>
      </c>
      <c r="DW16" s="175">
        <v>16</v>
      </c>
    </row>
    <row r="17" spans="1:127" ht="18" customHeight="1" x14ac:dyDescent="0.3">
      <c r="A17" s="309">
        <f>ปพ.5!$A$17</f>
        <v>12</v>
      </c>
      <c r="B17" s="322" t="str">
        <f>ปพ.5!$B$17</f>
        <v>6715</v>
      </c>
      <c r="C17" s="352" t="str">
        <f>ปพ.5!$C$17</f>
        <v>1110301526181</v>
      </c>
      <c r="D17" s="582" t="str">
        <f>ปพ.5!$D$17</f>
        <v>เด็กหญิง เพ็ญพิชชา  สิงสูงเนิน</v>
      </c>
      <c r="E17" s="583"/>
      <c r="F17" s="584"/>
      <c r="G17" s="311"/>
      <c r="H17" s="312"/>
      <c r="I17" s="312"/>
      <c r="J17" s="312"/>
      <c r="K17" s="313"/>
      <c r="L17" s="314"/>
      <c r="M17" s="312"/>
      <c r="N17" s="312"/>
      <c r="O17" s="312"/>
      <c r="P17" s="315"/>
      <c r="Q17" s="314"/>
      <c r="R17" s="312"/>
      <c r="S17" s="312"/>
      <c r="T17" s="312"/>
      <c r="U17" s="315"/>
      <c r="V17" s="314"/>
      <c r="W17" s="312"/>
      <c r="X17" s="312"/>
      <c r="Y17" s="312"/>
      <c r="Z17" s="315"/>
      <c r="AA17" s="314"/>
      <c r="AB17" s="312"/>
      <c r="AC17" s="312"/>
      <c r="AD17" s="312"/>
      <c r="AE17" s="315"/>
      <c r="AF17" s="314"/>
      <c r="AG17" s="312"/>
      <c r="AH17" s="312"/>
      <c r="AI17" s="312"/>
      <c r="AJ17" s="315"/>
      <c r="AK17" s="314"/>
      <c r="AL17" s="312"/>
      <c r="AM17" s="312"/>
      <c r="AN17" s="312"/>
      <c r="AO17" s="315"/>
      <c r="AP17" s="314"/>
      <c r="AQ17" s="312"/>
      <c r="AR17" s="312"/>
      <c r="AS17" s="312"/>
      <c r="AT17" s="315"/>
      <c r="AU17" s="314"/>
      <c r="AV17" s="312"/>
      <c r="AW17" s="312"/>
      <c r="AX17" s="312"/>
      <c r="AY17" s="315"/>
      <c r="AZ17" s="314"/>
      <c r="BA17" s="312"/>
      <c r="BB17" s="312"/>
      <c r="BC17" s="312"/>
      <c r="BD17" s="315"/>
      <c r="BE17" s="314"/>
      <c r="BF17" s="312"/>
      <c r="BG17" s="312"/>
      <c r="BH17" s="312"/>
      <c r="BI17" s="315"/>
      <c r="BJ17" s="314"/>
      <c r="BK17" s="312"/>
      <c r="BL17" s="312"/>
      <c r="BM17" s="312"/>
      <c r="BN17" s="315"/>
      <c r="BO17" s="314"/>
      <c r="BP17" s="312"/>
      <c r="BQ17" s="312"/>
      <c r="BR17" s="312"/>
      <c r="BS17" s="315"/>
      <c r="BT17" s="314"/>
      <c r="BU17" s="312"/>
      <c r="BV17" s="312"/>
      <c r="BW17" s="312"/>
      <c r="BX17" s="315"/>
      <c r="BY17" s="314"/>
      <c r="BZ17" s="312"/>
      <c r="CA17" s="312"/>
      <c r="CB17" s="312"/>
      <c r="CC17" s="315"/>
      <c r="CD17" s="314"/>
      <c r="CE17" s="312"/>
      <c r="CF17" s="312"/>
      <c r="CG17" s="312"/>
      <c r="CH17" s="315"/>
      <c r="CI17" s="314"/>
      <c r="CJ17" s="312"/>
      <c r="CK17" s="312"/>
      <c r="CL17" s="312"/>
      <c r="CM17" s="315"/>
      <c r="CN17" s="314"/>
      <c r="CO17" s="312"/>
      <c r="CP17" s="312"/>
      <c r="CQ17" s="312"/>
      <c r="CR17" s="315"/>
      <c r="CS17" s="314"/>
      <c r="CT17" s="312"/>
      <c r="CU17" s="312"/>
      <c r="CV17" s="312"/>
      <c r="CW17" s="315"/>
      <c r="CX17" s="314"/>
      <c r="CY17" s="312"/>
      <c r="CZ17" s="312"/>
      <c r="DA17" s="312"/>
      <c r="DB17" s="315"/>
      <c r="DC17" s="314"/>
      <c r="DD17" s="312"/>
      <c r="DE17" s="312"/>
      <c r="DF17" s="312"/>
      <c r="DG17" s="313"/>
      <c r="DH17" s="314"/>
      <c r="DI17" s="312"/>
      <c r="DJ17" s="312"/>
      <c r="DK17" s="312"/>
      <c r="DL17" s="313"/>
      <c r="DM17" s="305">
        <f>COUNTIF($G$17:$DL$17,"/")</f>
        <v>0</v>
      </c>
      <c r="DN17" s="305">
        <f>COUNTIF($G$17:$DL$17,"ป")</f>
        <v>0</v>
      </c>
      <c r="DO17" s="305">
        <f>COUNTIF($G$17:$DL$17,"ล")</f>
        <v>0</v>
      </c>
      <c r="DP17" s="305">
        <f>COUNTIF($G$17:$DL$17,"ข")</f>
        <v>0</v>
      </c>
      <c r="DQ17" s="304" t="e">
        <f t="shared" si="1"/>
        <v>#DIV/0!</v>
      </c>
      <c r="DR17" s="355">
        <f t="shared" si="0"/>
        <v>0</v>
      </c>
      <c r="DU17" s="140" t="s">
        <v>183</v>
      </c>
      <c r="DV17" s="175">
        <v>17</v>
      </c>
      <c r="DW17" s="175">
        <v>17</v>
      </c>
    </row>
    <row r="18" spans="1:127" ht="18" customHeight="1" x14ac:dyDescent="0.3">
      <c r="A18" s="309">
        <f>ปพ.5!$A$18</f>
        <v>13</v>
      </c>
      <c r="B18" s="322" t="str">
        <f>ปพ.5!$B$18</f>
        <v>6727</v>
      </c>
      <c r="C18" s="352" t="str">
        <f>ปพ.5!$C$18</f>
        <v>1103704603331</v>
      </c>
      <c r="D18" s="582" t="str">
        <f>ปพ.5!$D$18</f>
        <v>เด็กชาย พีรภัทร  พุทไธสง</v>
      </c>
      <c r="E18" s="583"/>
      <c r="F18" s="584"/>
      <c r="G18" s="311"/>
      <c r="H18" s="312"/>
      <c r="I18" s="312"/>
      <c r="J18" s="312"/>
      <c r="K18" s="313"/>
      <c r="L18" s="314"/>
      <c r="M18" s="312"/>
      <c r="N18" s="312"/>
      <c r="O18" s="312"/>
      <c r="P18" s="315"/>
      <c r="Q18" s="314"/>
      <c r="R18" s="312"/>
      <c r="S18" s="312"/>
      <c r="T18" s="312"/>
      <c r="U18" s="315"/>
      <c r="V18" s="314"/>
      <c r="W18" s="312"/>
      <c r="X18" s="312"/>
      <c r="Y18" s="312"/>
      <c r="Z18" s="315"/>
      <c r="AA18" s="314"/>
      <c r="AB18" s="312"/>
      <c r="AC18" s="312"/>
      <c r="AD18" s="312"/>
      <c r="AE18" s="315"/>
      <c r="AF18" s="314"/>
      <c r="AG18" s="312"/>
      <c r="AH18" s="312"/>
      <c r="AI18" s="312"/>
      <c r="AJ18" s="315"/>
      <c r="AK18" s="314"/>
      <c r="AL18" s="312"/>
      <c r="AM18" s="312"/>
      <c r="AN18" s="312"/>
      <c r="AO18" s="315"/>
      <c r="AP18" s="314"/>
      <c r="AQ18" s="312"/>
      <c r="AR18" s="312"/>
      <c r="AS18" s="312"/>
      <c r="AT18" s="315"/>
      <c r="AU18" s="314"/>
      <c r="AV18" s="312"/>
      <c r="AW18" s="312"/>
      <c r="AX18" s="312"/>
      <c r="AY18" s="315"/>
      <c r="AZ18" s="314"/>
      <c r="BA18" s="312"/>
      <c r="BB18" s="312"/>
      <c r="BC18" s="312"/>
      <c r="BD18" s="315"/>
      <c r="BE18" s="314"/>
      <c r="BF18" s="312"/>
      <c r="BG18" s="312"/>
      <c r="BH18" s="312"/>
      <c r="BI18" s="315"/>
      <c r="BJ18" s="314"/>
      <c r="BK18" s="312"/>
      <c r="BL18" s="312"/>
      <c r="BM18" s="312"/>
      <c r="BN18" s="315"/>
      <c r="BO18" s="314"/>
      <c r="BP18" s="312"/>
      <c r="BQ18" s="312"/>
      <c r="BR18" s="312"/>
      <c r="BS18" s="315"/>
      <c r="BT18" s="314"/>
      <c r="BU18" s="312"/>
      <c r="BV18" s="312"/>
      <c r="BW18" s="312"/>
      <c r="BX18" s="315"/>
      <c r="BY18" s="314"/>
      <c r="BZ18" s="312"/>
      <c r="CA18" s="312"/>
      <c r="CB18" s="312"/>
      <c r="CC18" s="315"/>
      <c r="CD18" s="314"/>
      <c r="CE18" s="312"/>
      <c r="CF18" s="312"/>
      <c r="CG18" s="312"/>
      <c r="CH18" s="315"/>
      <c r="CI18" s="314"/>
      <c r="CJ18" s="312"/>
      <c r="CK18" s="312"/>
      <c r="CL18" s="312"/>
      <c r="CM18" s="315"/>
      <c r="CN18" s="314"/>
      <c r="CO18" s="312"/>
      <c r="CP18" s="312"/>
      <c r="CQ18" s="312"/>
      <c r="CR18" s="315"/>
      <c r="CS18" s="314"/>
      <c r="CT18" s="312"/>
      <c r="CU18" s="312"/>
      <c r="CV18" s="312"/>
      <c r="CW18" s="315"/>
      <c r="CX18" s="314"/>
      <c r="CY18" s="312"/>
      <c r="CZ18" s="312"/>
      <c r="DA18" s="312"/>
      <c r="DB18" s="315"/>
      <c r="DC18" s="314"/>
      <c r="DD18" s="312"/>
      <c r="DE18" s="312"/>
      <c r="DF18" s="312"/>
      <c r="DG18" s="313"/>
      <c r="DH18" s="314"/>
      <c r="DI18" s="312"/>
      <c r="DJ18" s="312"/>
      <c r="DK18" s="312"/>
      <c r="DL18" s="313"/>
      <c r="DM18" s="305">
        <f>COUNTIF($G$18:$DL$18,"/")</f>
        <v>0</v>
      </c>
      <c r="DN18" s="305">
        <f>COUNTIF($G$18:$DL$18,"ป")</f>
        <v>0</v>
      </c>
      <c r="DO18" s="305">
        <f>COUNTIF($G$18:$DL$18,"ล")</f>
        <v>0</v>
      </c>
      <c r="DP18" s="305">
        <f>COUNTIF($G$18:$DL$18,"ข")</f>
        <v>0</v>
      </c>
      <c r="DQ18" s="304" t="e">
        <f t="shared" si="1"/>
        <v>#DIV/0!</v>
      </c>
      <c r="DR18" s="355">
        <f t="shared" si="0"/>
        <v>0</v>
      </c>
      <c r="DU18" s="140" t="s">
        <v>184</v>
      </c>
      <c r="DV18" s="175">
        <v>18</v>
      </c>
      <c r="DW18" s="175">
        <v>18</v>
      </c>
    </row>
    <row r="19" spans="1:127" ht="18" customHeight="1" x14ac:dyDescent="0.3">
      <c r="A19" s="309">
        <f>ปพ.5!$A$19</f>
        <v>14</v>
      </c>
      <c r="B19" s="322" t="str">
        <f>ปพ.5!$B$19</f>
        <v>6729</v>
      </c>
      <c r="C19" s="352" t="str">
        <f>ปพ.5!$C$19</f>
        <v>1103704621908</v>
      </c>
      <c r="D19" s="582" t="str">
        <f>ปพ.5!$D$19</f>
        <v>เด็กชาย อติเทพ  ยาผ่า</v>
      </c>
      <c r="E19" s="583"/>
      <c r="F19" s="584"/>
      <c r="G19" s="311"/>
      <c r="H19" s="312"/>
      <c r="I19" s="312"/>
      <c r="J19" s="312"/>
      <c r="K19" s="313"/>
      <c r="L19" s="314"/>
      <c r="M19" s="312"/>
      <c r="N19" s="312"/>
      <c r="O19" s="312"/>
      <c r="P19" s="315"/>
      <c r="Q19" s="314"/>
      <c r="R19" s="312"/>
      <c r="S19" s="312"/>
      <c r="T19" s="312"/>
      <c r="U19" s="315"/>
      <c r="V19" s="314"/>
      <c r="W19" s="312"/>
      <c r="X19" s="312"/>
      <c r="Y19" s="312"/>
      <c r="Z19" s="315"/>
      <c r="AA19" s="314"/>
      <c r="AB19" s="312"/>
      <c r="AC19" s="312"/>
      <c r="AD19" s="312"/>
      <c r="AE19" s="315"/>
      <c r="AF19" s="314"/>
      <c r="AG19" s="312"/>
      <c r="AH19" s="312"/>
      <c r="AI19" s="312"/>
      <c r="AJ19" s="315"/>
      <c r="AK19" s="314"/>
      <c r="AL19" s="312"/>
      <c r="AM19" s="312"/>
      <c r="AN19" s="312"/>
      <c r="AO19" s="315"/>
      <c r="AP19" s="314"/>
      <c r="AQ19" s="312"/>
      <c r="AR19" s="312"/>
      <c r="AS19" s="312"/>
      <c r="AT19" s="315"/>
      <c r="AU19" s="314"/>
      <c r="AV19" s="312"/>
      <c r="AW19" s="312"/>
      <c r="AX19" s="312"/>
      <c r="AY19" s="315"/>
      <c r="AZ19" s="314"/>
      <c r="BA19" s="312"/>
      <c r="BB19" s="312"/>
      <c r="BC19" s="312"/>
      <c r="BD19" s="315"/>
      <c r="BE19" s="314"/>
      <c r="BF19" s="312"/>
      <c r="BG19" s="312"/>
      <c r="BH19" s="312"/>
      <c r="BI19" s="315"/>
      <c r="BJ19" s="314"/>
      <c r="BK19" s="312"/>
      <c r="BL19" s="312"/>
      <c r="BM19" s="312"/>
      <c r="BN19" s="315"/>
      <c r="BO19" s="314"/>
      <c r="BP19" s="312"/>
      <c r="BQ19" s="312"/>
      <c r="BR19" s="312"/>
      <c r="BS19" s="315"/>
      <c r="BT19" s="314"/>
      <c r="BU19" s="312"/>
      <c r="BV19" s="312"/>
      <c r="BW19" s="312"/>
      <c r="BX19" s="315"/>
      <c r="BY19" s="314"/>
      <c r="BZ19" s="312"/>
      <c r="CA19" s="312"/>
      <c r="CB19" s="312"/>
      <c r="CC19" s="315"/>
      <c r="CD19" s="314"/>
      <c r="CE19" s="312"/>
      <c r="CF19" s="312"/>
      <c r="CG19" s="312"/>
      <c r="CH19" s="315"/>
      <c r="CI19" s="314"/>
      <c r="CJ19" s="312"/>
      <c r="CK19" s="312"/>
      <c r="CL19" s="312"/>
      <c r="CM19" s="315"/>
      <c r="CN19" s="314"/>
      <c r="CO19" s="312"/>
      <c r="CP19" s="312"/>
      <c r="CQ19" s="312"/>
      <c r="CR19" s="315"/>
      <c r="CS19" s="314"/>
      <c r="CT19" s="312"/>
      <c r="CU19" s="312"/>
      <c r="CV19" s="312"/>
      <c r="CW19" s="315"/>
      <c r="CX19" s="314"/>
      <c r="CY19" s="312"/>
      <c r="CZ19" s="312"/>
      <c r="DA19" s="312"/>
      <c r="DB19" s="315"/>
      <c r="DC19" s="314"/>
      <c r="DD19" s="312"/>
      <c r="DE19" s="312"/>
      <c r="DF19" s="312"/>
      <c r="DG19" s="313"/>
      <c r="DH19" s="314"/>
      <c r="DI19" s="312"/>
      <c r="DJ19" s="312"/>
      <c r="DK19" s="312"/>
      <c r="DL19" s="313"/>
      <c r="DM19" s="305">
        <f>COUNTIF($G$19:$DL$19,"/")</f>
        <v>0</v>
      </c>
      <c r="DN19" s="305">
        <f>COUNTIF($G$19:$DL$19,"ป")</f>
        <v>0</v>
      </c>
      <c r="DO19" s="305">
        <f>COUNTIF($G$19:$DL$19,"ล")</f>
        <v>0</v>
      </c>
      <c r="DP19" s="305">
        <f>COUNTIF($G$19:$DL$19,"ข")</f>
        <v>0</v>
      </c>
      <c r="DQ19" s="304" t="e">
        <f t="shared" si="1"/>
        <v>#DIV/0!</v>
      </c>
      <c r="DR19" s="355">
        <f t="shared" si="0"/>
        <v>0</v>
      </c>
      <c r="DU19" s="140" t="s">
        <v>185</v>
      </c>
      <c r="DV19" s="175">
        <v>19</v>
      </c>
      <c r="DW19" s="175">
        <v>19</v>
      </c>
    </row>
    <row r="20" spans="1:127" ht="18" customHeight="1" x14ac:dyDescent="0.3">
      <c r="A20" s="309">
        <f>ปพ.5!$A$20</f>
        <v>15</v>
      </c>
      <c r="B20" s="322" t="str">
        <f>ปพ.5!$B$20</f>
        <v>6737</v>
      </c>
      <c r="C20" s="352" t="str">
        <f>ปพ.5!$C$20</f>
        <v>2103300024825</v>
      </c>
      <c r="D20" s="582" t="str">
        <f>ปพ.5!$D$20</f>
        <v>เด็กหญิง มีนา  ศรีโอภาส</v>
      </c>
      <c r="E20" s="583"/>
      <c r="F20" s="584"/>
      <c r="G20" s="311"/>
      <c r="H20" s="312"/>
      <c r="I20" s="312"/>
      <c r="J20" s="312"/>
      <c r="K20" s="313"/>
      <c r="L20" s="314"/>
      <c r="M20" s="312"/>
      <c r="N20" s="312"/>
      <c r="O20" s="312"/>
      <c r="P20" s="315"/>
      <c r="Q20" s="314"/>
      <c r="R20" s="312"/>
      <c r="S20" s="312"/>
      <c r="T20" s="312"/>
      <c r="U20" s="315"/>
      <c r="V20" s="314"/>
      <c r="W20" s="312"/>
      <c r="X20" s="312"/>
      <c r="Y20" s="312"/>
      <c r="Z20" s="315"/>
      <c r="AA20" s="314"/>
      <c r="AB20" s="312"/>
      <c r="AC20" s="312"/>
      <c r="AD20" s="312"/>
      <c r="AE20" s="315"/>
      <c r="AF20" s="314"/>
      <c r="AG20" s="312"/>
      <c r="AH20" s="312"/>
      <c r="AI20" s="312"/>
      <c r="AJ20" s="315"/>
      <c r="AK20" s="314"/>
      <c r="AL20" s="312"/>
      <c r="AM20" s="312"/>
      <c r="AN20" s="312"/>
      <c r="AO20" s="315"/>
      <c r="AP20" s="314"/>
      <c r="AQ20" s="312"/>
      <c r="AR20" s="312"/>
      <c r="AS20" s="312"/>
      <c r="AT20" s="315"/>
      <c r="AU20" s="314"/>
      <c r="AV20" s="312"/>
      <c r="AW20" s="312"/>
      <c r="AX20" s="312"/>
      <c r="AY20" s="315"/>
      <c r="AZ20" s="314"/>
      <c r="BA20" s="312"/>
      <c r="BB20" s="312"/>
      <c r="BC20" s="312"/>
      <c r="BD20" s="315"/>
      <c r="BE20" s="314"/>
      <c r="BF20" s="312"/>
      <c r="BG20" s="312"/>
      <c r="BH20" s="312"/>
      <c r="BI20" s="315"/>
      <c r="BJ20" s="314"/>
      <c r="BK20" s="312"/>
      <c r="BL20" s="312"/>
      <c r="BM20" s="312"/>
      <c r="BN20" s="315"/>
      <c r="BO20" s="314"/>
      <c r="BP20" s="312"/>
      <c r="BQ20" s="312"/>
      <c r="BR20" s="312"/>
      <c r="BS20" s="315"/>
      <c r="BT20" s="314"/>
      <c r="BU20" s="312"/>
      <c r="BV20" s="312"/>
      <c r="BW20" s="312"/>
      <c r="BX20" s="315"/>
      <c r="BY20" s="314"/>
      <c r="BZ20" s="312"/>
      <c r="CA20" s="312"/>
      <c r="CB20" s="312"/>
      <c r="CC20" s="315"/>
      <c r="CD20" s="314"/>
      <c r="CE20" s="312"/>
      <c r="CF20" s="312"/>
      <c r="CG20" s="312"/>
      <c r="CH20" s="315"/>
      <c r="CI20" s="314"/>
      <c r="CJ20" s="312"/>
      <c r="CK20" s="312"/>
      <c r="CL20" s="312"/>
      <c r="CM20" s="315"/>
      <c r="CN20" s="314"/>
      <c r="CO20" s="312"/>
      <c r="CP20" s="312"/>
      <c r="CQ20" s="312"/>
      <c r="CR20" s="315"/>
      <c r="CS20" s="314"/>
      <c r="CT20" s="312"/>
      <c r="CU20" s="312"/>
      <c r="CV20" s="312"/>
      <c r="CW20" s="315"/>
      <c r="CX20" s="314"/>
      <c r="CY20" s="312"/>
      <c r="CZ20" s="312"/>
      <c r="DA20" s="312"/>
      <c r="DB20" s="315"/>
      <c r="DC20" s="314"/>
      <c r="DD20" s="312"/>
      <c r="DE20" s="312"/>
      <c r="DF20" s="312"/>
      <c r="DG20" s="313"/>
      <c r="DH20" s="314"/>
      <c r="DI20" s="312"/>
      <c r="DJ20" s="312"/>
      <c r="DK20" s="312"/>
      <c r="DL20" s="313"/>
      <c r="DM20" s="305">
        <f>COUNTIF($G$20:$DL$20,"/")</f>
        <v>0</v>
      </c>
      <c r="DN20" s="305">
        <f>COUNTIF($G$20:$DL$20,"ป")</f>
        <v>0</v>
      </c>
      <c r="DO20" s="305">
        <f>COUNTIF($G$20:$DL$20,"ล")</f>
        <v>0</v>
      </c>
      <c r="DP20" s="305">
        <f>COUNTIF($G$20:$DL$20,"ข")</f>
        <v>0</v>
      </c>
      <c r="DQ20" s="304" t="e">
        <f t="shared" si="1"/>
        <v>#DIV/0!</v>
      </c>
      <c r="DR20" s="355">
        <f t="shared" si="0"/>
        <v>0</v>
      </c>
      <c r="DU20" s="140" t="s">
        <v>186</v>
      </c>
      <c r="DV20" s="175">
        <v>20</v>
      </c>
      <c r="DW20" s="175">
        <v>20</v>
      </c>
    </row>
    <row r="21" spans="1:127" ht="18" customHeight="1" x14ac:dyDescent="0.3">
      <c r="A21" s="309">
        <f>ปพ.5!$A$21</f>
        <v>16</v>
      </c>
      <c r="B21" s="322" t="str">
        <f>ปพ.5!$B$21</f>
        <v>6744</v>
      </c>
      <c r="C21" s="352" t="str">
        <f>ปพ.5!$C$21</f>
        <v>1100704216041</v>
      </c>
      <c r="D21" s="582" t="str">
        <f>ปพ.5!$D$21</f>
        <v>เด็กหญิง สุธิดา  มวยเก่ง</v>
      </c>
      <c r="E21" s="583"/>
      <c r="F21" s="584"/>
      <c r="G21" s="311"/>
      <c r="H21" s="312"/>
      <c r="I21" s="312"/>
      <c r="J21" s="312"/>
      <c r="K21" s="313"/>
      <c r="L21" s="314"/>
      <c r="M21" s="312"/>
      <c r="N21" s="312"/>
      <c r="O21" s="312"/>
      <c r="P21" s="315"/>
      <c r="Q21" s="314"/>
      <c r="R21" s="312"/>
      <c r="S21" s="312"/>
      <c r="T21" s="312"/>
      <c r="U21" s="315"/>
      <c r="V21" s="314"/>
      <c r="W21" s="312"/>
      <c r="X21" s="312"/>
      <c r="Y21" s="312"/>
      <c r="Z21" s="315"/>
      <c r="AA21" s="314"/>
      <c r="AB21" s="312"/>
      <c r="AC21" s="312"/>
      <c r="AD21" s="312"/>
      <c r="AE21" s="315"/>
      <c r="AF21" s="314"/>
      <c r="AG21" s="312"/>
      <c r="AH21" s="312"/>
      <c r="AI21" s="312"/>
      <c r="AJ21" s="315"/>
      <c r="AK21" s="314"/>
      <c r="AL21" s="312"/>
      <c r="AM21" s="312"/>
      <c r="AN21" s="312"/>
      <c r="AO21" s="315"/>
      <c r="AP21" s="314"/>
      <c r="AQ21" s="312"/>
      <c r="AR21" s="312"/>
      <c r="AS21" s="312"/>
      <c r="AT21" s="315"/>
      <c r="AU21" s="314"/>
      <c r="AV21" s="312"/>
      <c r="AW21" s="312"/>
      <c r="AX21" s="312"/>
      <c r="AY21" s="315"/>
      <c r="AZ21" s="314"/>
      <c r="BA21" s="312"/>
      <c r="BB21" s="312"/>
      <c r="BC21" s="312"/>
      <c r="BD21" s="315"/>
      <c r="BE21" s="314"/>
      <c r="BF21" s="312"/>
      <c r="BG21" s="312"/>
      <c r="BH21" s="312"/>
      <c r="BI21" s="315"/>
      <c r="BJ21" s="314"/>
      <c r="BK21" s="312"/>
      <c r="BL21" s="312"/>
      <c r="BM21" s="312"/>
      <c r="BN21" s="315"/>
      <c r="BO21" s="314"/>
      <c r="BP21" s="312"/>
      <c r="BQ21" s="312"/>
      <c r="BR21" s="312"/>
      <c r="BS21" s="315"/>
      <c r="BT21" s="314"/>
      <c r="BU21" s="312"/>
      <c r="BV21" s="312"/>
      <c r="BW21" s="312"/>
      <c r="BX21" s="315"/>
      <c r="BY21" s="314"/>
      <c r="BZ21" s="312"/>
      <c r="CA21" s="312"/>
      <c r="CB21" s="312"/>
      <c r="CC21" s="315"/>
      <c r="CD21" s="314"/>
      <c r="CE21" s="312"/>
      <c r="CF21" s="312"/>
      <c r="CG21" s="312"/>
      <c r="CH21" s="315"/>
      <c r="CI21" s="314"/>
      <c r="CJ21" s="312"/>
      <c r="CK21" s="312"/>
      <c r="CL21" s="312"/>
      <c r="CM21" s="315"/>
      <c r="CN21" s="314"/>
      <c r="CO21" s="312"/>
      <c r="CP21" s="312"/>
      <c r="CQ21" s="312"/>
      <c r="CR21" s="315"/>
      <c r="CS21" s="314"/>
      <c r="CT21" s="312"/>
      <c r="CU21" s="312"/>
      <c r="CV21" s="312"/>
      <c r="CW21" s="315"/>
      <c r="CX21" s="314"/>
      <c r="CY21" s="312"/>
      <c r="CZ21" s="312"/>
      <c r="DA21" s="312"/>
      <c r="DB21" s="315"/>
      <c r="DC21" s="314"/>
      <c r="DD21" s="312"/>
      <c r="DE21" s="312"/>
      <c r="DF21" s="312"/>
      <c r="DG21" s="313"/>
      <c r="DH21" s="314"/>
      <c r="DI21" s="312"/>
      <c r="DJ21" s="312"/>
      <c r="DK21" s="312"/>
      <c r="DL21" s="313"/>
      <c r="DM21" s="305">
        <f>COUNTIF($G$21:$DL$21,"/")</f>
        <v>0</v>
      </c>
      <c r="DN21" s="305">
        <f>COUNTIF($G$21:$DL$21,"ป")</f>
        <v>0</v>
      </c>
      <c r="DO21" s="305">
        <f>COUNTIF($G$21:$DL$21,"ล")</f>
        <v>0</v>
      </c>
      <c r="DP21" s="305">
        <f>COUNTIF($G$21:$DL$21,"ข")</f>
        <v>0</v>
      </c>
      <c r="DQ21" s="304" t="e">
        <f t="shared" si="1"/>
        <v>#DIV/0!</v>
      </c>
      <c r="DR21" s="355">
        <f t="shared" si="0"/>
        <v>0</v>
      </c>
      <c r="DU21" s="140" t="s">
        <v>187</v>
      </c>
      <c r="DV21" s="175">
        <v>21</v>
      </c>
      <c r="DW21" s="175">
        <v>21</v>
      </c>
    </row>
    <row r="22" spans="1:127" ht="18" customHeight="1" x14ac:dyDescent="0.3">
      <c r="A22" s="309">
        <f>ปพ.5!$A$22</f>
        <v>17</v>
      </c>
      <c r="B22" s="322" t="str">
        <f>ปพ.5!$B$22</f>
        <v>6748</v>
      </c>
      <c r="C22" s="352" t="str">
        <f>ปพ.5!$C$22</f>
        <v>1119902601186</v>
      </c>
      <c r="D22" s="582" t="str">
        <f>ปพ.5!$D$22</f>
        <v>เด็กหญิง อภิญญา  ศรีมารินทร์</v>
      </c>
      <c r="E22" s="583"/>
      <c r="F22" s="584"/>
      <c r="G22" s="311"/>
      <c r="H22" s="312"/>
      <c r="I22" s="312"/>
      <c r="J22" s="312"/>
      <c r="K22" s="313"/>
      <c r="L22" s="314"/>
      <c r="M22" s="312"/>
      <c r="N22" s="312"/>
      <c r="O22" s="312"/>
      <c r="P22" s="315"/>
      <c r="Q22" s="314"/>
      <c r="R22" s="312"/>
      <c r="S22" s="312"/>
      <c r="T22" s="312"/>
      <c r="U22" s="315"/>
      <c r="V22" s="314"/>
      <c r="W22" s="312"/>
      <c r="X22" s="312"/>
      <c r="Y22" s="312"/>
      <c r="Z22" s="315"/>
      <c r="AA22" s="314"/>
      <c r="AB22" s="312"/>
      <c r="AC22" s="312"/>
      <c r="AD22" s="312"/>
      <c r="AE22" s="315"/>
      <c r="AF22" s="314"/>
      <c r="AG22" s="312"/>
      <c r="AH22" s="312"/>
      <c r="AI22" s="312"/>
      <c r="AJ22" s="315"/>
      <c r="AK22" s="314"/>
      <c r="AL22" s="312"/>
      <c r="AM22" s="312"/>
      <c r="AN22" s="312"/>
      <c r="AO22" s="315"/>
      <c r="AP22" s="314"/>
      <c r="AQ22" s="312"/>
      <c r="AR22" s="312"/>
      <c r="AS22" s="312"/>
      <c r="AT22" s="315"/>
      <c r="AU22" s="314"/>
      <c r="AV22" s="312"/>
      <c r="AW22" s="312"/>
      <c r="AX22" s="312"/>
      <c r="AY22" s="315"/>
      <c r="AZ22" s="314"/>
      <c r="BA22" s="312"/>
      <c r="BB22" s="312"/>
      <c r="BC22" s="312"/>
      <c r="BD22" s="315"/>
      <c r="BE22" s="314"/>
      <c r="BF22" s="312"/>
      <c r="BG22" s="312"/>
      <c r="BH22" s="312"/>
      <c r="BI22" s="315"/>
      <c r="BJ22" s="314"/>
      <c r="BK22" s="312"/>
      <c r="BL22" s="312"/>
      <c r="BM22" s="312"/>
      <c r="BN22" s="315"/>
      <c r="BO22" s="314"/>
      <c r="BP22" s="312"/>
      <c r="BQ22" s="312"/>
      <c r="BR22" s="312"/>
      <c r="BS22" s="315"/>
      <c r="BT22" s="314"/>
      <c r="BU22" s="312"/>
      <c r="BV22" s="312"/>
      <c r="BW22" s="312"/>
      <c r="BX22" s="315"/>
      <c r="BY22" s="314"/>
      <c r="BZ22" s="312"/>
      <c r="CA22" s="312"/>
      <c r="CB22" s="312"/>
      <c r="CC22" s="315"/>
      <c r="CD22" s="314"/>
      <c r="CE22" s="312"/>
      <c r="CF22" s="312"/>
      <c r="CG22" s="312"/>
      <c r="CH22" s="315"/>
      <c r="CI22" s="314"/>
      <c r="CJ22" s="312"/>
      <c r="CK22" s="312"/>
      <c r="CL22" s="312"/>
      <c r="CM22" s="315"/>
      <c r="CN22" s="314"/>
      <c r="CO22" s="312"/>
      <c r="CP22" s="312"/>
      <c r="CQ22" s="312"/>
      <c r="CR22" s="315"/>
      <c r="CS22" s="314"/>
      <c r="CT22" s="312"/>
      <c r="CU22" s="312"/>
      <c r="CV22" s="312"/>
      <c r="CW22" s="315"/>
      <c r="CX22" s="314"/>
      <c r="CY22" s="312"/>
      <c r="CZ22" s="312"/>
      <c r="DA22" s="312"/>
      <c r="DB22" s="315"/>
      <c r="DC22" s="314"/>
      <c r="DD22" s="312"/>
      <c r="DE22" s="312"/>
      <c r="DF22" s="312"/>
      <c r="DG22" s="313"/>
      <c r="DH22" s="314"/>
      <c r="DI22" s="312"/>
      <c r="DJ22" s="312"/>
      <c r="DK22" s="312"/>
      <c r="DL22" s="313"/>
      <c r="DM22" s="305">
        <f>COUNTIF($G$22:$DL$22,"/")</f>
        <v>0</v>
      </c>
      <c r="DN22" s="305">
        <f>COUNTIF($G$22:$DL$22,"ป")</f>
        <v>0</v>
      </c>
      <c r="DO22" s="305">
        <f>COUNTIF($G$22:$DL$22,"ล")</f>
        <v>0</v>
      </c>
      <c r="DP22" s="305">
        <f>COUNTIF($G$22:$DL$22,"ข")</f>
        <v>0</v>
      </c>
      <c r="DQ22" s="304" t="e">
        <f t="shared" si="1"/>
        <v>#DIV/0!</v>
      </c>
      <c r="DR22" s="355">
        <f t="shared" si="0"/>
        <v>0</v>
      </c>
      <c r="DU22" s="140" t="s">
        <v>188</v>
      </c>
      <c r="DV22" s="175">
        <v>22</v>
      </c>
      <c r="DW22" s="175">
        <v>22</v>
      </c>
    </row>
    <row r="23" spans="1:127" ht="18" customHeight="1" x14ac:dyDescent="0.3">
      <c r="A23" s="309">
        <f>ปพ.5!$A$23</f>
        <v>18</v>
      </c>
      <c r="B23" s="322" t="str">
        <f>ปพ.5!$B$23</f>
        <v>6749</v>
      </c>
      <c r="C23" s="352" t="str">
        <f>ปพ.5!$C$23</f>
        <v>1469500046827</v>
      </c>
      <c r="D23" s="582" t="str">
        <f>ปพ.5!$D$23</f>
        <v>เด็กหญิง เบญจา  คงเฉลียว</v>
      </c>
      <c r="E23" s="583"/>
      <c r="F23" s="584"/>
      <c r="G23" s="311"/>
      <c r="H23" s="312"/>
      <c r="I23" s="312"/>
      <c r="J23" s="312"/>
      <c r="K23" s="313"/>
      <c r="L23" s="314"/>
      <c r="M23" s="312"/>
      <c r="N23" s="312"/>
      <c r="O23" s="312"/>
      <c r="P23" s="315"/>
      <c r="Q23" s="314"/>
      <c r="R23" s="312"/>
      <c r="S23" s="312"/>
      <c r="T23" s="312"/>
      <c r="U23" s="315"/>
      <c r="V23" s="314"/>
      <c r="W23" s="312"/>
      <c r="X23" s="312"/>
      <c r="Y23" s="312"/>
      <c r="Z23" s="315"/>
      <c r="AA23" s="314"/>
      <c r="AB23" s="312"/>
      <c r="AC23" s="312"/>
      <c r="AD23" s="312"/>
      <c r="AE23" s="315"/>
      <c r="AF23" s="314"/>
      <c r="AG23" s="312"/>
      <c r="AH23" s="312"/>
      <c r="AI23" s="312"/>
      <c r="AJ23" s="315"/>
      <c r="AK23" s="314"/>
      <c r="AL23" s="312"/>
      <c r="AM23" s="312"/>
      <c r="AN23" s="312"/>
      <c r="AO23" s="315"/>
      <c r="AP23" s="314"/>
      <c r="AQ23" s="312"/>
      <c r="AR23" s="312"/>
      <c r="AS23" s="312"/>
      <c r="AT23" s="315"/>
      <c r="AU23" s="314"/>
      <c r="AV23" s="312"/>
      <c r="AW23" s="312"/>
      <c r="AX23" s="312"/>
      <c r="AY23" s="315"/>
      <c r="AZ23" s="314"/>
      <c r="BA23" s="312"/>
      <c r="BB23" s="312"/>
      <c r="BC23" s="312"/>
      <c r="BD23" s="315"/>
      <c r="BE23" s="314"/>
      <c r="BF23" s="312"/>
      <c r="BG23" s="312"/>
      <c r="BH23" s="312"/>
      <c r="BI23" s="315"/>
      <c r="BJ23" s="314"/>
      <c r="BK23" s="312"/>
      <c r="BL23" s="312"/>
      <c r="BM23" s="312"/>
      <c r="BN23" s="315"/>
      <c r="BO23" s="314"/>
      <c r="BP23" s="312"/>
      <c r="BQ23" s="312"/>
      <c r="BR23" s="312"/>
      <c r="BS23" s="315"/>
      <c r="BT23" s="314"/>
      <c r="BU23" s="312"/>
      <c r="BV23" s="312"/>
      <c r="BW23" s="312"/>
      <c r="BX23" s="315"/>
      <c r="BY23" s="314"/>
      <c r="BZ23" s="312"/>
      <c r="CA23" s="312"/>
      <c r="CB23" s="312"/>
      <c r="CC23" s="315"/>
      <c r="CD23" s="314"/>
      <c r="CE23" s="312"/>
      <c r="CF23" s="312"/>
      <c r="CG23" s="312"/>
      <c r="CH23" s="315"/>
      <c r="CI23" s="314"/>
      <c r="CJ23" s="312"/>
      <c r="CK23" s="312"/>
      <c r="CL23" s="312"/>
      <c r="CM23" s="315"/>
      <c r="CN23" s="314"/>
      <c r="CO23" s="312"/>
      <c r="CP23" s="312"/>
      <c r="CQ23" s="312"/>
      <c r="CR23" s="315"/>
      <c r="CS23" s="314"/>
      <c r="CT23" s="312"/>
      <c r="CU23" s="312"/>
      <c r="CV23" s="312"/>
      <c r="CW23" s="315"/>
      <c r="CX23" s="314"/>
      <c r="CY23" s="312"/>
      <c r="CZ23" s="312"/>
      <c r="DA23" s="312"/>
      <c r="DB23" s="315"/>
      <c r="DC23" s="314"/>
      <c r="DD23" s="312"/>
      <c r="DE23" s="312"/>
      <c r="DF23" s="312"/>
      <c r="DG23" s="313"/>
      <c r="DH23" s="314"/>
      <c r="DI23" s="312"/>
      <c r="DJ23" s="312"/>
      <c r="DK23" s="312"/>
      <c r="DL23" s="313"/>
      <c r="DM23" s="305">
        <f>COUNTIF($G$23:$DL$23,"/")</f>
        <v>0</v>
      </c>
      <c r="DN23" s="305">
        <f>COUNTIF($G$23:$DL$23,"ป")</f>
        <v>0</v>
      </c>
      <c r="DO23" s="305">
        <f>COUNTIF($G$23:$DL$23,"ล")</f>
        <v>0</v>
      </c>
      <c r="DP23" s="305">
        <f>COUNTIF($G$23:$DL$23,"ข")</f>
        <v>0</v>
      </c>
      <c r="DQ23" s="304" t="e">
        <f t="shared" si="1"/>
        <v>#DIV/0!</v>
      </c>
      <c r="DR23" s="355">
        <f t="shared" si="0"/>
        <v>0</v>
      </c>
      <c r="DV23" s="175">
        <v>23</v>
      </c>
      <c r="DW23" s="175">
        <v>23</v>
      </c>
    </row>
    <row r="24" spans="1:127" ht="18" customHeight="1" x14ac:dyDescent="0.3">
      <c r="A24" s="309">
        <f>ปพ.5!$A$24</f>
        <v>19</v>
      </c>
      <c r="B24" s="322" t="str">
        <f>ปพ.5!$B$24</f>
        <v>6755</v>
      </c>
      <c r="C24" s="352" t="str">
        <f>ปพ.5!$C$24</f>
        <v>1100704207939</v>
      </c>
      <c r="D24" s="582" t="str">
        <f>ปพ.5!$D$24</f>
        <v>เด็กชาย สมรรถ  ใจใส</v>
      </c>
      <c r="E24" s="583"/>
      <c r="F24" s="584"/>
      <c r="G24" s="311"/>
      <c r="H24" s="312"/>
      <c r="I24" s="312"/>
      <c r="J24" s="312"/>
      <c r="K24" s="313"/>
      <c r="L24" s="314"/>
      <c r="M24" s="312"/>
      <c r="N24" s="312"/>
      <c r="O24" s="312"/>
      <c r="P24" s="315"/>
      <c r="Q24" s="314"/>
      <c r="R24" s="312"/>
      <c r="S24" s="312"/>
      <c r="T24" s="312"/>
      <c r="U24" s="315"/>
      <c r="V24" s="314"/>
      <c r="W24" s="312"/>
      <c r="X24" s="312"/>
      <c r="Y24" s="312"/>
      <c r="Z24" s="315"/>
      <c r="AA24" s="314"/>
      <c r="AB24" s="312"/>
      <c r="AC24" s="312"/>
      <c r="AD24" s="312"/>
      <c r="AE24" s="315"/>
      <c r="AF24" s="314"/>
      <c r="AG24" s="312"/>
      <c r="AH24" s="312"/>
      <c r="AI24" s="312"/>
      <c r="AJ24" s="315"/>
      <c r="AK24" s="314"/>
      <c r="AL24" s="312"/>
      <c r="AM24" s="312"/>
      <c r="AN24" s="312"/>
      <c r="AO24" s="315"/>
      <c r="AP24" s="314"/>
      <c r="AQ24" s="312"/>
      <c r="AR24" s="312"/>
      <c r="AS24" s="312"/>
      <c r="AT24" s="315"/>
      <c r="AU24" s="314"/>
      <c r="AV24" s="312"/>
      <c r="AW24" s="312"/>
      <c r="AX24" s="312"/>
      <c r="AY24" s="315"/>
      <c r="AZ24" s="314"/>
      <c r="BA24" s="312"/>
      <c r="BB24" s="312"/>
      <c r="BC24" s="312"/>
      <c r="BD24" s="315"/>
      <c r="BE24" s="314"/>
      <c r="BF24" s="312"/>
      <c r="BG24" s="312"/>
      <c r="BH24" s="312"/>
      <c r="BI24" s="315"/>
      <c r="BJ24" s="314"/>
      <c r="BK24" s="312"/>
      <c r="BL24" s="312"/>
      <c r="BM24" s="312"/>
      <c r="BN24" s="315"/>
      <c r="BO24" s="314"/>
      <c r="BP24" s="312"/>
      <c r="BQ24" s="312"/>
      <c r="BR24" s="312"/>
      <c r="BS24" s="315"/>
      <c r="BT24" s="314"/>
      <c r="BU24" s="312"/>
      <c r="BV24" s="312"/>
      <c r="BW24" s="312"/>
      <c r="BX24" s="315"/>
      <c r="BY24" s="314"/>
      <c r="BZ24" s="312"/>
      <c r="CA24" s="312"/>
      <c r="CB24" s="312"/>
      <c r="CC24" s="315"/>
      <c r="CD24" s="314"/>
      <c r="CE24" s="312"/>
      <c r="CF24" s="312"/>
      <c r="CG24" s="312"/>
      <c r="CH24" s="315"/>
      <c r="CI24" s="314"/>
      <c r="CJ24" s="312"/>
      <c r="CK24" s="312"/>
      <c r="CL24" s="312"/>
      <c r="CM24" s="315"/>
      <c r="CN24" s="314"/>
      <c r="CO24" s="312"/>
      <c r="CP24" s="312"/>
      <c r="CQ24" s="312"/>
      <c r="CR24" s="315"/>
      <c r="CS24" s="314"/>
      <c r="CT24" s="312"/>
      <c r="CU24" s="312"/>
      <c r="CV24" s="312"/>
      <c r="CW24" s="315"/>
      <c r="CX24" s="314"/>
      <c r="CY24" s="312"/>
      <c r="CZ24" s="312"/>
      <c r="DA24" s="312"/>
      <c r="DB24" s="315"/>
      <c r="DC24" s="314"/>
      <c r="DD24" s="312"/>
      <c r="DE24" s="312"/>
      <c r="DF24" s="312"/>
      <c r="DG24" s="313"/>
      <c r="DH24" s="314"/>
      <c r="DI24" s="312"/>
      <c r="DJ24" s="312"/>
      <c r="DK24" s="312"/>
      <c r="DL24" s="313"/>
      <c r="DM24" s="305">
        <f>COUNTIF($G$24:$DL$24,"/")</f>
        <v>0</v>
      </c>
      <c r="DN24" s="305">
        <f>COUNTIF($G$24:$DL$24,"ป")</f>
        <v>0</v>
      </c>
      <c r="DO24" s="305">
        <f>COUNTIF($G$24:$DL$24,"ล")</f>
        <v>0</v>
      </c>
      <c r="DP24" s="305">
        <f>COUNTIF($G$24:$DL$24,"ข")</f>
        <v>0</v>
      </c>
      <c r="DQ24" s="304" t="e">
        <f t="shared" si="1"/>
        <v>#DIV/0!</v>
      </c>
      <c r="DR24" s="355">
        <f t="shared" si="0"/>
        <v>0</v>
      </c>
      <c r="DV24" s="175">
        <v>24</v>
      </c>
      <c r="DW24" s="175">
        <v>24</v>
      </c>
    </row>
    <row r="25" spans="1:127" ht="18" customHeight="1" x14ac:dyDescent="0.3">
      <c r="A25" s="309">
        <f>ปพ.5!$A$25</f>
        <v>20</v>
      </c>
      <c r="B25" s="322" t="str">
        <f>ปพ.5!$B$25</f>
        <v>6758</v>
      </c>
      <c r="C25" s="352" t="str">
        <f>ปพ.5!$C$25</f>
        <v>1100704257120</v>
      </c>
      <c r="D25" s="582" t="str">
        <f>ปพ.5!$D$25</f>
        <v>เด็กชาย ธีรศิลป์  องค์ศิริศิลป์</v>
      </c>
      <c r="E25" s="583"/>
      <c r="F25" s="584"/>
      <c r="G25" s="311"/>
      <c r="H25" s="312"/>
      <c r="I25" s="312"/>
      <c r="J25" s="312"/>
      <c r="K25" s="313"/>
      <c r="L25" s="314"/>
      <c r="M25" s="312"/>
      <c r="N25" s="312"/>
      <c r="O25" s="312"/>
      <c r="P25" s="315"/>
      <c r="Q25" s="314"/>
      <c r="R25" s="312"/>
      <c r="S25" s="312"/>
      <c r="T25" s="312"/>
      <c r="U25" s="315"/>
      <c r="V25" s="314"/>
      <c r="W25" s="312"/>
      <c r="X25" s="312"/>
      <c r="Y25" s="312"/>
      <c r="Z25" s="315"/>
      <c r="AA25" s="314"/>
      <c r="AB25" s="312"/>
      <c r="AC25" s="312"/>
      <c r="AD25" s="312"/>
      <c r="AE25" s="315"/>
      <c r="AF25" s="314"/>
      <c r="AG25" s="312"/>
      <c r="AH25" s="312"/>
      <c r="AI25" s="312"/>
      <c r="AJ25" s="315"/>
      <c r="AK25" s="314"/>
      <c r="AL25" s="312"/>
      <c r="AM25" s="312"/>
      <c r="AN25" s="312"/>
      <c r="AO25" s="315"/>
      <c r="AP25" s="314"/>
      <c r="AQ25" s="312"/>
      <c r="AR25" s="312"/>
      <c r="AS25" s="312"/>
      <c r="AT25" s="315"/>
      <c r="AU25" s="314"/>
      <c r="AV25" s="312"/>
      <c r="AW25" s="312"/>
      <c r="AX25" s="312"/>
      <c r="AY25" s="315"/>
      <c r="AZ25" s="314"/>
      <c r="BA25" s="312"/>
      <c r="BB25" s="312"/>
      <c r="BC25" s="312"/>
      <c r="BD25" s="315"/>
      <c r="BE25" s="314"/>
      <c r="BF25" s="312"/>
      <c r="BG25" s="312"/>
      <c r="BH25" s="312"/>
      <c r="BI25" s="315"/>
      <c r="BJ25" s="314"/>
      <c r="BK25" s="312"/>
      <c r="BL25" s="312"/>
      <c r="BM25" s="312"/>
      <c r="BN25" s="315"/>
      <c r="BO25" s="314"/>
      <c r="BP25" s="312"/>
      <c r="BQ25" s="312"/>
      <c r="BR25" s="312"/>
      <c r="BS25" s="315"/>
      <c r="BT25" s="314"/>
      <c r="BU25" s="312"/>
      <c r="BV25" s="312"/>
      <c r="BW25" s="312"/>
      <c r="BX25" s="315"/>
      <c r="BY25" s="314"/>
      <c r="BZ25" s="312"/>
      <c r="CA25" s="312"/>
      <c r="CB25" s="312"/>
      <c r="CC25" s="315"/>
      <c r="CD25" s="314"/>
      <c r="CE25" s="312"/>
      <c r="CF25" s="312"/>
      <c r="CG25" s="312"/>
      <c r="CH25" s="315"/>
      <c r="CI25" s="314"/>
      <c r="CJ25" s="312"/>
      <c r="CK25" s="312"/>
      <c r="CL25" s="312"/>
      <c r="CM25" s="315"/>
      <c r="CN25" s="314"/>
      <c r="CO25" s="312"/>
      <c r="CP25" s="312"/>
      <c r="CQ25" s="312"/>
      <c r="CR25" s="315"/>
      <c r="CS25" s="314"/>
      <c r="CT25" s="312"/>
      <c r="CU25" s="312"/>
      <c r="CV25" s="312"/>
      <c r="CW25" s="315"/>
      <c r="CX25" s="314"/>
      <c r="CY25" s="312"/>
      <c r="CZ25" s="312"/>
      <c r="DA25" s="312"/>
      <c r="DB25" s="315"/>
      <c r="DC25" s="314"/>
      <c r="DD25" s="312"/>
      <c r="DE25" s="312"/>
      <c r="DF25" s="312"/>
      <c r="DG25" s="313"/>
      <c r="DH25" s="314"/>
      <c r="DI25" s="312"/>
      <c r="DJ25" s="312"/>
      <c r="DK25" s="312"/>
      <c r="DL25" s="313"/>
      <c r="DM25" s="305">
        <f>COUNTIF($G$25:$DL$25,"/")</f>
        <v>0</v>
      </c>
      <c r="DN25" s="305">
        <f>COUNTIF($G$25:$DL$25,"ป")</f>
        <v>0</v>
      </c>
      <c r="DO25" s="305">
        <f>COUNTIF($G$25:$DL$25,"ล")</f>
        <v>0</v>
      </c>
      <c r="DP25" s="305">
        <f>COUNTIF($G$25:$DL$25,"ข")</f>
        <v>0</v>
      </c>
      <c r="DQ25" s="304" t="e">
        <f t="shared" si="1"/>
        <v>#DIV/0!</v>
      </c>
      <c r="DR25" s="355">
        <f t="shared" si="0"/>
        <v>0</v>
      </c>
      <c r="DV25" s="175">
        <v>25</v>
      </c>
      <c r="DW25" s="175">
        <v>25</v>
      </c>
    </row>
    <row r="26" spans="1:127" ht="18" customHeight="1" x14ac:dyDescent="0.3">
      <c r="A26" s="309">
        <f>ปพ.5!$A$26</f>
        <v>21</v>
      </c>
      <c r="B26" s="322" t="str">
        <f>ปพ.5!$B$26</f>
        <v>6777</v>
      </c>
      <c r="C26" s="352" t="str">
        <f>ปพ.5!$C$26</f>
        <v>1100704250966</v>
      </c>
      <c r="D26" s="582" t="str">
        <f>ปพ.5!$D$26</f>
        <v>เด็กหญิง สิริรักษ์  คำแสน</v>
      </c>
      <c r="E26" s="583"/>
      <c r="F26" s="584"/>
      <c r="G26" s="311"/>
      <c r="H26" s="312"/>
      <c r="I26" s="312"/>
      <c r="J26" s="312"/>
      <c r="K26" s="313"/>
      <c r="L26" s="314"/>
      <c r="M26" s="312"/>
      <c r="N26" s="312"/>
      <c r="O26" s="312"/>
      <c r="P26" s="315"/>
      <c r="Q26" s="314"/>
      <c r="R26" s="312"/>
      <c r="S26" s="312"/>
      <c r="T26" s="312"/>
      <c r="U26" s="315"/>
      <c r="V26" s="314"/>
      <c r="W26" s="312"/>
      <c r="X26" s="312"/>
      <c r="Y26" s="312"/>
      <c r="Z26" s="315"/>
      <c r="AA26" s="314"/>
      <c r="AB26" s="312"/>
      <c r="AC26" s="312"/>
      <c r="AD26" s="312"/>
      <c r="AE26" s="315"/>
      <c r="AF26" s="314"/>
      <c r="AG26" s="312"/>
      <c r="AH26" s="312"/>
      <c r="AI26" s="312"/>
      <c r="AJ26" s="315"/>
      <c r="AK26" s="314"/>
      <c r="AL26" s="312"/>
      <c r="AM26" s="312"/>
      <c r="AN26" s="312"/>
      <c r="AO26" s="315"/>
      <c r="AP26" s="314"/>
      <c r="AQ26" s="312"/>
      <c r="AR26" s="312"/>
      <c r="AS26" s="312"/>
      <c r="AT26" s="315"/>
      <c r="AU26" s="314"/>
      <c r="AV26" s="312"/>
      <c r="AW26" s="312"/>
      <c r="AX26" s="312"/>
      <c r="AY26" s="315"/>
      <c r="AZ26" s="314"/>
      <c r="BA26" s="312"/>
      <c r="BB26" s="312"/>
      <c r="BC26" s="312"/>
      <c r="BD26" s="315"/>
      <c r="BE26" s="314"/>
      <c r="BF26" s="312"/>
      <c r="BG26" s="312"/>
      <c r="BH26" s="312"/>
      <c r="BI26" s="315"/>
      <c r="BJ26" s="314"/>
      <c r="BK26" s="312"/>
      <c r="BL26" s="312"/>
      <c r="BM26" s="312"/>
      <c r="BN26" s="315"/>
      <c r="BO26" s="314"/>
      <c r="BP26" s="312"/>
      <c r="BQ26" s="312"/>
      <c r="BR26" s="312"/>
      <c r="BS26" s="315"/>
      <c r="BT26" s="314"/>
      <c r="BU26" s="312"/>
      <c r="BV26" s="312"/>
      <c r="BW26" s="312"/>
      <c r="BX26" s="315"/>
      <c r="BY26" s="314"/>
      <c r="BZ26" s="312"/>
      <c r="CA26" s="312"/>
      <c r="CB26" s="312"/>
      <c r="CC26" s="315"/>
      <c r="CD26" s="314"/>
      <c r="CE26" s="312"/>
      <c r="CF26" s="312"/>
      <c r="CG26" s="312"/>
      <c r="CH26" s="315"/>
      <c r="CI26" s="314"/>
      <c r="CJ26" s="312"/>
      <c r="CK26" s="312"/>
      <c r="CL26" s="312"/>
      <c r="CM26" s="315"/>
      <c r="CN26" s="314"/>
      <c r="CO26" s="312"/>
      <c r="CP26" s="312"/>
      <c r="CQ26" s="312"/>
      <c r="CR26" s="315"/>
      <c r="CS26" s="314"/>
      <c r="CT26" s="312"/>
      <c r="CU26" s="312"/>
      <c r="CV26" s="312"/>
      <c r="CW26" s="315"/>
      <c r="CX26" s="314"/>
      <c r="CY26" s="312"/>
      <c r="CZ26" s="312"/>
      <c r="DA26" s="312"/>
      <c r="DB26" s="315"/>
      <c r="DC26" s="314"/>
      <c r="DD26" s="312"/>
      <c r="DE26" s="312"/>
      <c r="DF26" s="312"/>
      <c r="DG26" s="313"/>
      <c r="DH26" s="314"/>
      <c r="DI26" s="312"/>
      <c r="DJ26" s="312"/>
      <c r="DK26" s="312"/>
      <c r="DL26" s="313"/>
      <c r="DM26" s="305">
        <f>COUNTIF($G$26:$DL$26,"/")</f>
        <v>0</v>
      </c>
      <c r="DN26" s="305">
        <f>COUNTIF($G$26:$DL$26,"ป")</f>
        <v>0</v>
      </c>
      <c r="DO26" s="305">
        <f>COUNTIF($G$26:$DL$26,"ล")</f>
        <v>0</v>
      </c>
      <c r="DP26" s="305">
        <f>COUNTIF($G$26:$DL$26,"ข")</f>
        <v>0</v>
      </c>
      <c r="DQ26" s="304" t="e">
        <f t="shared" si="1"/>
        <v>#DIV/0!</v>
      </c>
      <c r="DR26" s="355">
        <f t="shared" si="0"/>
        <v>0</v>
      </c>
      <c r="DV26" s="175">
        <v>26</v>
      </c>
      <c r="DW26" s="175">
        <v>26</v>
      </c>
    </row>
    <row r="27" spans="1:127" ht="18" customHeight="1" x14ac:dyDescent="0.3">
      <c r="A27" s="309">
        <f>ปพ.5!$A$27</f>
        <v>22</v>
      </c>
      <c r="B27" s="322" t="str">
        <f>ปพ.5!$B$27</f>
        <v>6788</v>
      </c>
      <c r="C27" s="352" t="str">
        <f>ปพ.5!$C$27</f>
        <v>1339600238206</v>
      </c>
      <c r="D27" s="582" t="str">
        <f>ปพ.5!$D$27</f>
        <v>เด็กชาย รัชกฤต  ฐิรวุฒิกร</v>
      </c>
      <c r="E27" s="583"/>
      <c r="F27" s="584"/>
      <c r="G27" s="311"/>
      <c r="H27" s="312"/>
      <c r="I27" s="312"/>
      <c r="J27" s="312"/>
      <c r="K27" s="313"/>
      <c r="L27" s="314"/>
      <c r="M27" s="312"/>
      <c r="N27" s="312"/>
      <c r="O27" s="312"/>
      <c r="P27" s="315"/>
      <c r="Q27" s="314"/>
      <c r="R27" s="312"/>
      <c r="S27" s="312"/>
      <c r="T27" s="312"/>
      <c r="U27" s="315"/>
      <c r="V27" s="314"/>
      <c r="W27" s="312"/>
      <c r="X27" s="312"/>
      <c r="Y27" s="312"/>
      <c r="Z27" s="315"/>
      <c r="AA27" s="314"/>
      <c r="AB27" s="312"/>
      <c r="AC27" s="312"/>
      <c r="AD27" s="312"/>
      <c r="AE27" s="315"/>
      <c r="AF27" s="314"/>
      <c r="AG27" s="312"/>
      <c r="AH27" s="312"/>
      <c r="AI27" s="312"/>
      <c r="AJ27" s="315"/>
      <c r="AK27" s="314"/>
      <c r="AL27" s="312"/>
      <c r="AM27" s="312"/>
      <c r="AN27" s="312"/>
      <c r="AO27" s="315"/>
      <c r="AP27" s="314"/>
      <c r="AQ27" s="312"/>
      <c r="AR27" s="312"/>
      <c r="AS27" s="312"/>
      <c r="AT27" s="315"/>
      <c r="AU27" s="314"/>
      <c r="AV27" s="312"/>
      <c r="AW27" s="312"/>
      <c r="AX27" s="312"/>
      <c r="AY27" s="315"/>
      <c r="AZ27" s="314"/>
      <c r="BA27" s="312"/>
      <c r="BB27" s="312"/>
      <c r="BC27" s="312"/>
      <c r="BD27" s="315"/>
      <c r="BE27" s="314"/>
      <c r="BF27" s="312"/>
      <c r="BG27" s="312"/>
      <c r="BH27" s="312"/>
      <c r="BI27" s="315"/>
      <c r="BJ27" s="314"/>
      <c r="BK27" s="312"/>
      <c r="BL27" s="312"/>
      <c r="BM27" s="312"/>
      <c r="BN27" s="315"/>
      <c r="BO27" s="314"/>
      <c r="BP27" s="312"/>
      <c r="BQ27" s="312"/>
      <c r="BR27" s="312"/>
      <c r="BS27" s="315"/>
      <c r="BT27" s="314"/>
      <c r="BU27" s="312"/>
      <c r="BV27" s="312"/>
      <c r="BW27" s="312"/>
      <c r="BX27" s="315"/>
      <c r="BY27" s="314"/>
      <c r="BZ27" s="312"/>
      <c r="CA27" s="312"/>
      <c r="CB27" s="312"/>
      <c r="CC27" s="315"/>
      <c r="CD27" s="314"/>
      <c r="CE27" s="312"/>
      <c r="CF27" s="312"/>
      <c r="CG27" s="312"/>
      <c r="CH27" s="315"/>
      <c r="CI27" s="314"/>
      <c r="CJ27" s="312"/>
      <c r="CK27" s="312"/>
      <c r="CL27" s="312"/>
      <c r="CM27" s="315"/>
      <c r="CN27" s="314"/>
      <c r="CO27" s="312"/>
      <c r="CP27" s="312"/>
      <c r="CQ27" s="312"/>
      <c r="CR27" s="315"/>
      <c r="CS27" s="314"/>
      <c r="CT27" s="312"/>
      <c r="CU27" s="312"/>
      <c r="CV27" s="312"/>
      <c r="CW27" s="315"/>
      <c r="CX27" s="314"/>
      <c r="CY27" s="312"/>
      <c r="CZ27" s="312"/>
      <c r="DA27" s="312"/>
      <c r="DB27" s="315"/>
      <c r="DC27" s="314"/>
      <c r="DD27" s="312"/>
      <c r="DE27" s="312"/>
      <c r="DF27" s="312"/>
      <c r="DG27" s="313"/>
      <c r="DH27" s="314"/>
      <c r="DI27" s="312"/>
      <c r="DJ27" s="312"/>
      <c r="DK27" s="312"/>
      <c r="DL27" s="313"/>
      <c r="DM27" s="305">
        <f>COUNTIF($G$27:$DL$27,"/")</f>
        <v>0</v>
      </c>
      <c r="DN27" s="305">
        <f>COUNTIF($G$27:$DL$27,"ป")</f>
        <v>0</v>
      </c>
      <c r="DO27" s="305">
        <f>COUNTIF($G$27:$DL$27,"ล")</f>
        <v>0</v>
      </c>
      <c r="DP27" s="305">
        <f>COUNTIF($G$27:$DL$27,"ข")</f>
        <v>0</v>
      </c>
      <c r="DQ27" s="304" t="e">
        <f t="shared" si="1"/>
        <v>#DIV/0!</v>
      </c>
      <c r="DR27" s="355">
        <f t="shared" si="0"/>
        <v>0</v>
      </c>
      <c r="DV27" s="175">
        <v>27</v>
      </c>
      <c r="DW27" s="175">
        <v>27</v>
      </c>
    </row>
    <row r="28" spans="1:127" ht="18" customHeight="1" x14ac:dyDescent="0.3">
      <c r="A28" s="309">
        <f>ปพ.5!$A$28</f>
        <v>23</v>
      </c>
      <c r="B28" s="322" t="str">
        <f>ปพ.5!$B$28</f>
        <v>6798</v>
      </c>
      <c r="C28" s="352" t="str">
        <f>ปพ.5!$C$28</f>
        <v>1100704219759</v>
      </c>
      <c r="D28" s="582" t="str">
        <f>ปพ.5!$D$28</f>
        <v>เด็กหญิง ธนาภา  มิ่งเมือง</v>
      </c>
      <c r="E28" s="583"/>
      <c r="F28" s="584"/>
      <c r="G28" s="311"/>
      <c r="H28" s="312"/>
      <c r="I28" s="312"/>
      <c r="J28" s="312"/>
      <c r="K28" s="313"/>
      <c r="L28" s="314"/>
      <c r="M28" s="312"/>
      <c r="N28" s="312"/>
      <c r="O28" s="312"/>
      <c r="P28" s="315"/>
      <c r="Q28" s="314"/>
      <c r="R28" s="312"/>
      <c r="S28" s="312"/>
      <c r="T28" s="312"/>
      <c r="U28" s="315"/>
      <c r="V28" s="314"/>
      <c r="W28" s="312"/>
      <c r="X28" s="312"/>
      <c r="Y28" s="312"/>
      <c r="Z28" s="315"/>
      <c r="AA28" s="314"/>
      <c r="AB28" s="312"/>
      <c r="AC28" s="312"/>
      <c r="AD28" s="312"/>
      <c r="AE28" s="315"/>
      <c r="AF28" s="314"/>
      <c r="AG28" s="312"/>
      <c r="AH28" s="312"/>
      <c r="AI28" s="312"/>
      <c r="AJ28" s="315"/>
      <c r="AK28" s="314"/>
      <c r="AL28" s="312"/>
      <c r="AM28" s="312"/>
      <c r="AN28" s="312"/>
      <c r="AO28" s="315"/>
      <c r="AP28" s="314"/>
      <c r="AQ28" s="312"/>
      <c r="AR28" s="312"/>
      <c r="AS28" s="312"/>
      <c r="AT28" s="315"/>
      <c r="AU28" s="314"/>
      <c r="AV28" s="312"/>
      <c r="AW28" s="312"/>
      <c r="AX28" s="312"/>
      <c r="AY28" s="315"/>
      <c r="AZ28" s="314"/>
      <c r="BA28" s="312"/>
      <c r="BB28" s="312"/>
      <c r="BC28" s="312"/>
      <c r="BD28" s="315"/>
      <c r="BE28" s="314"/>
      <c r="BF28" s="312"/>
      <c r="BG28" s="312"/>
      <c r="BH28" s="312"/>
      <c r="BI28" s="315"/>
      <c r="BJ28" s="314"/>
      <c r="BK28" s="312"/>
      <c r="BL28" s="312"/>
      <c r="BM28" s="312"/>
      <c r="BN28" s="315"/>
      <c r="BO28" s="314"/>
      <c r="BP28" s="312"/>
      <c r="BQ28" s="312"/>
      <c r="BR28" s="312"/>
      <c r="BS28" s="315"/>
      <c r="BT28" s="314"/>
      <c r="BU28" s="312"/>
      <c r="BV28" s="312"/>
      <c r="BW28" s="312"/>
      <c r="BX28" s="315"/>
      <c r="BY28" s="314"/>
      <c r="BZ28" s="312"/>
      <c r="CA28" s="312"/>
      <c r="CB28" s="312"/>
      <c r="CC28" s="315"/>
      <c r="CD28" s="314"/>
      <c r="CE28" s="312"/>
      <c r="CF28" s="312"/>
      <c r="CG28" s="312"/>
      <c r="CH28" s="315"/>
      <c r="CI28" s="314"/>
      <c r="CJ28" s="312"/>
      <c r="CK28" s="312"/>
      <c r="CL28" s="312"/>
      <c r="CM28" s="315"/>
      <c r="CN28" s="314"/>
      <c r="CO28" s="312"/>
      <c r="CP28" s="312"/>
      <c r="CQ28" s="312"/>
      <c r="CR28" s="315"/>
      <c r="CS28" s="314"/>
      <c r="CT28" s="312"/>
      <c r="CU28" s="312"/>
      <c r="CV28" s="312"/>
      <c r="CW28" s="315"/>
      <c r="CX28" s="314"/>
      <c r="CY28" s="312"/>
      <c r="CZ28" s="312"/>
      <c r="DA28" s="312"/>
      <c r="DB28" s="315"/>
      <c r="DC28" s="314"/>
      <c r="DD28" s="312"/>
      <c r="DE28" s="312"/>
      <c r="DF28" s="312"/>
      <c r="DG28" s="313"/>
      <c r="DH28" s="314"/>
      <c r="DI28" s="312"/>
      <c r="DJ28" s="312"/>
      <c r="DK28" s="312"/>
      <c r="DL28" s="313"/>
      <c r="DM28" s="305">
        <f>COUNTIF($G$28:$DL$28,"/")</f>
        <v>0</v>
      </c>
      <c r="DN28" s="305">
        <f>COUNTIF($G$28:$DL$28,"ป")</f>
        <v>0</v>
      </c>
      <c r="DO28" s="305">
        <f>COUNTIF($G$28:$DL$28,"ล")</f>
        <v>0</v>
      </c>
      <c r="DP28" s="305">
        <f>COUNTIF($G$28:$DL$28,"ข")</f>
        <v>0</v>
      </c>
      <c r="DQ28" s="304" t="e">
        <f t="shared" si="1"/>
        <v>#DIV/0!</v>
      </c>
      <c r="DR28" s="355">
        <f t="shared" si="0"/>
        <v>0</v>
      </c>
      <c r="DV28" s="175">
        <v>28</v>
      </c>
      <c r="DW28" s="175">
        <v>28</v>
      </c>
    </row>
    <row r="29" spans="1:127" ht="18" customHeight="1" x14ac:dyDescent="0.3">
      <c r="A29" s="309">
        <f>ปพ.5!$A$29</f>
        <v>24</v>
      </c>
      <c r="B29" s="322" t="str">
        <f>ปพ.5!$B$29</f>
        <v>6803</v>
      </c>
      <c r="C29" s="352" t="str">
        <f>ปพ.5!$C$29</f>
        <v>1103200227696</v>
      </c>
      <c r="D29" s="582" t="str">
        <f>ปพ.5!$D$29</f>
        <v>เด็กหญิง เณฐฬฏาก์  จรูญศิริโรจน์</v>
      </c>
      <c r="E29" s="583"/>
      <c r="F29" s="584"/>
      <c r="G29" s="311"/>
      <c r="H29" s="312"/>
      <c r="I29" s="312"/>
      <c r="J29" s="312"/>
      <c r="K29" s="313"/>
      <c r="L29" s="314"/>
      <c r="M29" s="312"/>
      <c r="N29" s="312"/>
      <c r="O29" s="312"/>
      <c r="P29" s="315"/>
      <c r="Q29" s="314"/>
      <c r="R29" s="312"/>
      <c r="S29" s="312"/>
      <c r="T29" s="312"/>
      <c r="U29" s="315"/>
      <c r="V29" s="314"/>
      <c r="W29" s="312"/>
      <c r="X29" s="312"/>
      <c r="Y29" s="312"/>
      <c r="Z29" s="315"/>
      <c r="AA29" s="314"/>
      <c r="AB29" s="312"/>
      <c r="AC29" s="312"/>
      <c r="AD29" s="312"/>
      <c r="AE29" s="315"/>
      <c r="AF29" s="314"/>
      <c r="AG29" s="312"/>
      <c r="AH29" s="312"/>
      <c r="AI29" s="312"/>
      <c r="AJ29" s="315"/>
      <c r="AK29" s="314"/>
      <c r="AL29" s="312"/>
      <c r="AM29" s="312"/>
      <c r="AN29" s="312"/>
      <c r="AO29" s="315"/>
      <c r="AP29" s="314"/>
      <c r="AQ29" s="312"/>
      <c r="AR29" s="312"/>
      <c r="AS29" s="312"/>
      <c r="AT29" s="315"/>
      <c r="AU29" s="314"/>
      <c r="AV29" s="312"/>
      <c r="AW29" s="312"/>
      <c r="AX29" s="312"/>
      <c r="AY29" s="315"/>
      <c r="AZ29" s="314"/>
      <c r="BA29" s="312"/>
      <c r="BB29" s="312"/>
      <c r="BC29" s="312"/>
      <c r="BD29" s="315"/>
      <c r="BE29" s="314"/>
      <c r="BF29" s="312"/>
      <c r="BG29" s="312"/>
      <c r="BH29" s="312"/>
      <c r="BI29" s="315"/>
      <c r="BJ29" s="314"/>
      <c r="BK29" s="312"/>
      <c r="BL29" s="312"/>
      <c r="BM29" s="312"/>
      <c r="BN29" s="315"/>
      <c r="BO29" s="314"/>
      <c r="BP29" s="312"/>
      <c r="BQ29" s="312"/>
      <c r="BR29" s="312"/>
      <c r="BS29" s="315"/>
      <c r="BT29" s="314"/>
      <c r="BU29" s="312"/>
      <c r="BV29" s="312"/>
      <c r="BW29" s="312"/>
      <c r="BX29" s="315"/>
      <c r="BY29" s="314"/>
      <c r="BZ29" s="312"/>
      <c r="CA29" s="312"/>
      <c r="CB29" s="312"/>
      <c r="CC29" s="315"/>
      <c r="CD29" s="314"/>
      <c r="CE29" s="312"/>
      <c r="CF29" s="312"/>
      <c r="CG29" s="312"/>
      <c r="CH29" s="315"/>
      <c r="CI29" s="314"/>
      <c r="CJ29" s="312"/>
      <c r="CK29" s="312"/>
      <c r="CL29" s="312"/>
      <c r="CM29" s="315"/>
      <c r="CN29" s="314"/>
      <c r="CO29" s="312"/>
      <c r="CP29" s="312"/>
      <c r="CQ29" s="312"/>
      <c r="CR29" s="315"/>
      <c r="CS29" s="314"/>
      <c r="CT29" s="312"/>
      <c r="CU29" s="312"/>
      <c r="CV29" s="312"/>
      <c r="CW29" s="315"/>
      <c r="CX29" s="314"/>
      <c r="CY29" s="312"/>
      <c r="CZ29" s="312"/>
      <c r="DA29" s="312"/>
      <c r="DB29" s="315"/>
      <c r="DC29" s="314"/>
      <c r="DD29" s="312"/>
      <c r="DE29" s="312"/>
      <c r="DF29" s="312"/>
      <c r="DG29" s="313"/>
      <c r="DH29" s="314"/>
      <c r="DI29" s="312"/>
      <c r="DJ29" s="312"/>
      <c r="DK29" s="312"/>
      <c r="DL29" s="313"/>
      <c r="DM29" s="305">
        <f>COUNTIF($G$29:$DL$29,"/")</f>
        <v>0</v>
      </c>
      <c r="DN29" s="305">
        <f>COUNTIF($G$29:$DL$29,"ป")</f>
        <v>0</v>
      </c>
      <c r="DO29" s="305">
        <f>COUNTIF($G$29:$DL$29,"ล")</f>
        <v>0</v>
      </c>
      <c r="DP29" s="305">
        <f>COUNTIF($G$29:$DL$29,"ข")</f>
        <v>0</v>
      </c>
      <c r="DQ29" s="304" t="e">
        <f t="shared" si="1"/>
        <v>#DIV/0!</v>
      </c>
      <c r="DR29" s="355">
        <f t="shared" si="0"/>
        <v>0</v>
      </c>
      <c r="DV29" s="175">
        <v>29</v>
      </c>
      <c r="DW29" s="175">
        <v>29</v>
      </c>
    </row>
    <row r="30" spans="1:127" ht="18" customHeight="1" x14ac:dyDescent="0.3">
      <c r="A30" s="309">
        <f>ปพ.5!$A$30</f>
        <v>25</v>
      </c>
      <c r="B30" s="322" t="str">
        <f>ปพ.5!$B$30</f>
        <v>6863</v>
      </c>
      <c r="C30" s="352" t="str">
        <f>ปพ.5!$C$30</f>
        <v>1103200229737</v>
      </c>
      <c r="D30" s="582" t="str">
        <f>ปพ.5!$D$30</f>
        <v>เด็กหญิง ศิริภัสสร  สิทธิประกรณ์</v>
      </c>
      <c r="E30" s="583"/>
      <c r="F30" s="584"/>
      <c r="G30" s="311"/>
      <c r="H30" s="312"/>
      <c r="I30" s="312"/>
      <c r="J30" s="312"/>
      <c r="K30" s="313"/>
      <c r="L30" s="314"/>
      <c r="M30" s="312"/>
      <c r="N30" s="312"/>
      <c r="O30" s="312"/>
      <c r="P30" s="315"/>
      <c r="Q30" s="314"/>
      <c r="R30" s="312"/>
      <c r="S30" s="312"/>
      <c r="T30" s="312"/>
      <c r="U30" s="315"/>
      <c r="V30" s="314"/>
      <c r="W30" s="312"/>
      <c r="X30" s="312"/>
      <c r="Y30" s="312"/>
      <c r="Z30" s="315"/>
      <c r="AA30" s="314"/>
      <c r="AB30" s="312"/>
      <c r="AC30" s="312"/>
      <c r="AD30" s="312"/>
      <c r="AE30" s="315"/>
      <c r="AF30" s="314"/>
      <c r="AG30" s="312"/>
      <c r="AH30" s="312"/>
      <c r="AI30" s="312"/>
      <c r="AJ30" s="315"/>
      <c r="AK30" s="314"/>
      <c r="AL30" s="312"/>
      <c r="AM30" s="312"/>
      <c r="AN30" s="312"/>
      <c r="AO30" s="315"/>
      <c r="AP30" s="314"/>
      <c r="AQ30" s="312"/>
      <c r="AR30" s="312"/>
      <c r="AS30" s="312"/>
      <c r="AT30" s="315"/>
      <c r="AU30" s="314"/>
      <c r="AV30" s="312"/>
      <c r="AW30" s="312"/>
      <c r="AX30" s="312"/>
      <c r="AY30" s="315"/>
      <c r="AZ30" s="314"/>
      <c r="BA30" s="312"/>
      <c r="BB30" s="312"/>
      <c r="BC30" s="312"/>
      <c r="BD30" s="315"/>
      <c r="BE30" s="314"/>
      <c r="BF30" s="312"/>
      <c r="BG30" s="312"/>
      <c r="BH30" s="312"/>
      <c r="BI30" s="315"/>
      <c r="BJ30" s="314"/>
      <c r="BK30" s="312"/>
      <c r="BL30" s="312"/>
      <c r="BM30" s="312"/>
      <c r="BN30" s="315"/>
      <c r="BO30" s="314"/>
      <c r="BP30" s="312"/>
      <c r="BQ30" s="312"/>
      <c r="BR30" s="312"/>
      <c r="BS30" s="315"/>
      <c r="BT30" s="314"/>
      <c r="BU30" s="312"/>
      <c r="BV30" s="312"/>
      <c r="BW30" s="312"/>
      <c r="BX30" s="315"/>
      <c r="BY30" s="314"/>
      <c r="BZ30" s="312"/>
      <c r="CA30" s="312"/>
      <c r="CB30" s="312"/>
      <c r="CC30" s="315"/>
      <c r="CD30" s="314"/>
      <c r="CE30" s="312"/>
      <c r="CF30" s="312"/>
      <c r="CG30" s="312"/>
      <c r="CH30" s="315"/>
      <c r="CI30" s="314"/>
      <c r="CJ30" s="312"/>
      <c r="CK30" s="312"/>
      <c r="CL30" s="312"/>
      <c r="CM30" s="315"/>
      <c r="CN30" s="314"/>
      <c r="CO30" s="312"/>
      <c r="CP30" s="312"/>
      <c r="CQ30" s="312"/>
      <c r="CR30" s="315"/>
      <c r="CS30" s="314"/>
      <c r="CT30" s="312"/>
      <c r="CU30" s="312"/>
      <c r="CV30" s="312"/>
      <c r="CW30" s="315"/>
      <c r="CX30" s="314"/>
      <c r="CY30" s="312"/>
      <c r="CZ30" s="312"/>
      <c r="DA30" s="312"/>
      <c r="DB30" s="315"/>
      <c r="DC30" s="314"/>
      <c r="DD30" s="312"/>
      <c r="DE30" s="312"/>
      <c r="DF30" s="312"/>
      <c r="DG30" s="313"/>
      <c r="DH30" s="314"/>
      <c r="DI30" s="312"/>
      <c r="DJ30" s="312"/>
      <c r="DK30" s="312"/>
      <c r="DL30" s="313"/>
      <c r="DM30" s="305">
        <f>COUNTIF($G$30:$DL$30,"/")</f>
        <v>0</v>
      </c>
      <c r="DN30" s="305">
        <f>COUNTIF($G$30:$DL$30,"ป")</f>
        <v>0</v>
      </c>
      <c r="DO30" s="305">
        <f>COUNTIF($G$30:$DL$30,"ล")</f>
        <v>0</v>
      </c>
      <c r="DP30" s="305">
        <f>COUNTIF($G$30:$DL$30,"ข")</f>
        <v>0</v>
      </c>
      <c r="DQ30" s="304" t="e">
        <f t="shared" si="1"/>
        <v>#DIV/0!</v>
      </c>
      <c r="DR30" s="355">
        <f t="shared" si="0"/>
        <v>0</v>
      </c>
      <c r="DV30" s="175">
        <v>30</v>
      </c>
      <c r="DW30" s="175">
        <v>30</v>
      </c>
    </row>
    <row r="31" spans="1:127" ht="18" customHeight="1" x14ac:dyDescent="0.3">
      <c r="A31" s="309">
        <f>ปพ.5!$A$31</f>
        <v>26</v>
      </c>
      <c r="B31" s="322" t="str">
        <f>ปพ.5!$B$31</f>
        <v>6867</v>
      </c>
      <c r="C31" s="352" t="str">
        <f>ปพ.5!$C$31</f>
        <v>1319500084452</v>
      </c>
      <c r="D31" s="582" t="str">
        <f>ปพ.5!$D$31</f>
        <v>เด็กชาย จักรพล  ไพรพล</v>
      </c>
      <c r="E31" s="583"/>
      <c r="F31" s="584"/>
      <c r="G31" s="311"/>
      <c r="H31" s="312"/>
      <c r="I31" s="312"/>
      <c r="J31" s="312"/>
      <c r="K31" s="313"/>
      <c r="L31" s="314"/>
      <c r="M31" s="312"/>
      <c r="N31" s="312"/>
      <c r="O31" s="312"/>
      <c r="P31" s="315"/>
      <c r="Q31" s="314"/>
      <c r="R31" s="312"/>
      <c r="S31" s="312"/>
      <c r="T31" s="312"/>
      <c r="U31" s="315"/>
      <c r="V31" s="314"/>
      <c r="W31" s="312"/>
      <c r="X31" s="312"/>
      <c r="Y31" s="312"/>
      <c r="Z31" s="315"/>
      <c r="AA31" s="314"/>
      <c r="AB31" s="312"/>
      <c r="AC31" s="312"/>
      <c r="AD31" s="312"/>
      <c r="AE31" s="315"/>
      <c r="AF31" s="314"/>
      <c r="AG31" s="312"/>
      <c r="AH31" s="312"/>
      <c r="AI31" s="312"/>
      <c r="AJ31" s="315"/>
      <c r="AK31" s="314"/>
      <c r="AL31" s="312"/>
      <c r="AM31" s="312"/>
      <c r="AN31" s="312"/>
      <c r="AO31" s="315"/>
      <c r="AP31" s="314"/>
      <c r="AQ31" s="312"/>
      <c r="AR31" s="312"/>
      <c r="AS31" s="312"/>
      <c r="AT31" s="315"/>
      <c r="AU31" s="314"/>
      <c r="AV31" s="312"/>
      <c r="AW31" s="312"/>
      <c r="AX31" s="312"/>
      <c r="AY31" s="315"/>
      <c r="AZ31" s="314"/>
      <c r="BA31" s="312"/>
      <c r="BB31" s="312"/>
      <c r="BC31" s="312"/>
      <c r="BD31" s="315"/>
      <c r="BE31" s="314"/>
      <c r="BF31" s="312"/>
      <c r="BG31" s="312"/>
      <c r="BH31" s="312"/>
      <c r="BI31" s="315"/>
      <c r="BJ31" s="314"/>
      <c r="BK31" s="312"/>
      <c r="BL31" s="312"/>
      <c r="BM31" s="312"/>
      <c r="BN31" s="315"/>
      <c r="BO31" s="314"/>
      <c r="BP31" s="312"/>
      <c r="BQ31" s="312"/>
      <c r="BR31" s="312"/>
      <c r="BS31" s="315"/>
      <c r="BT31" s="314"/>
      <c r="BU31" s="312"/>
      <c r="BV31" s="312"/>
      <c r="BW31" s="312"/>
      <c r="BX31" s="315"/>
      <c r="BY31" s="314"/>
      <c r="BZ31" s="312"/>
      <c r="CA31" s="312"/>
      <c r="CB31" s="312"/>
      <c r="CC31" s="315"/>
      <c r="CD31" s="314"/>
      <c r="CE31" s="312"/>
      <c r="CF31" s="312"/>
      <c r="CG31" s="312"/>
      <c r="CH31" s="315"/>
      <c r="CI31" s="314"/>
      <c r="CJ31" s="312"/>
      <c r="CK31" s="312"/>
      <c r="CL31" s="312"/>
      <c r="CM31" s="315"/>
      <c r="CN31" s="314"/>
      <c r="CO31" s="312"/>
      <c r="CP31" s="312"/>
      <c r="CQ31" s="312"/>
      <c r="CR31" s="315"/>
      <c r="CS31" s="314"/>
      <c r="CT31" s="312"/>
      <c r="CU31" s="312"/>
      <c r="CV31" s="312"/>
      <c r="CW31" s="315"/>
      <c r="CX31" s="314"/>
      <c r="CY31" s="312"/>
      <c r="CZ31" s="312"/>
      <c r="DA31" s="312"/>
      <c r="DB31" s="315"/>
      <c r="DC31" s="314"/>
      <c r="DD31" s="312"/>
      <c r="DE31" s="312"/>
      <c r="DF31" s="312"/>
      <c r="DG31" s="313"/>
      <c r="DH31" s="314"/>
      <c r="DI31" s="312"/>
      <c r="DJ31" s="312"/>
      <c r="DK31" s="312"/>
      <c r="DL31" s="313"/>
      <c r="DM31" s="305">
        <f>COUNTIF($G$31:$DL$31,"/")</f>
        <v>0</v>
      </c>
      <c r="DN31" s="305">
        <f>COUNTIF($G$31:$DL$31,"ป")</f>
        <v>0</v>
      </c>
      <c r="DO31" s="305">
        <f>COUNTIF($G$31:$DL$31,"ล")</f>
        <v>0</v>
      </c>
      <c r="DP31" s="305">
        <f>COUNTIF($G$31:$DL$31,"ข")</f>
        <v>0</v>
      </c>
      <c r="DQ31" s="304" t="e">
        <f t="shared" si="1"/>
        <v>#DIV/0!</v>
      </c>
      <c r="DR31" s="355">
        <f t="shared" si="0"/>
        <v>0</v>
      </c>
      <c r="DV31" s="175">
        <v>31</v>
      </c>
      <c r="DW31" s="175">
        <v>31</v>
      </c>
    </row>
    <row r="32" spans="1:127" ht="18" customHeight="1" x14ac:dyDescent="0.3">
      <c r="A32" s="309">
        <f>ปพ.5!$A$32</f>
        <v>27</v>
      </c>
      <c r="B32" s="322" t="str">
        <f>ปพ.5!$B$32</f>
        <v>7011</v>
      </c>
      <c r="C32" s="352" t="str">
        <f>ปพ.5!$C$32</f>
        <v>1100704277651</v>
      </c>
      <c r="D32" s="582" t="str">
        <f>ปพ.5!$D$32</f>
        <v>เด็กชาย นภัทร  พยัคกานน</v>
      </c>
      <c r="E32" s="583"/>
      <c r="F32" s="584"/>
      <c r="G32" s="311"/>
      <c r="H32" s="312"/>
      <c r="I32" s="312"/>
      <c r="J32" s="312"/>
      <c r="K32" s="313"/>
      <c r="L32" s="314"/>
      <c r="M32" s="312"/>
      <c r="N32" s="312"/>
      <c r="O32" s="312"/>
      <c r="P32" s="315"/>
      <c r="Q32" s="314"/>
      <c r="R32" s="312"/>
      <c r="S32" s="312"/>
      <c r="T32" s="312"/>
      <c r="U32" s="315"/>
      <c r="V32" s="314"/>
      <c r="W32" s="312"/>
      <c r="X32" s="312"/>
      <c r="Y32" s="312"/>
      <c r="Z32" s="315"/>
      <c r="AA32" s="314"/>
      <c r="AB32" s="312"/>
      <c r="AC32" s="312"/>
      <c r="AD32" s="312"/>
      <c r="AE32" s="315"/>
      <c r="AF32" s="314"/>
      <c r="AG32" s="312"/>
      <c r="AH32" s="312"/>
      <c r="AI32" s="312"/>
      <c r="AJ32" s="315"/>
      <c r="AK32" s="314"/>
      <c r="AL32" s="312"/>
      <c r="AM32" s="312"/>
      <c r="AN32" s="312"/>
      <c r="AO32" s="315"/>
      <c r="AP32" s="314"/>
      <c r="AQ32" s="312"/>
      <c r="AR32" s="312"/>
      <c r="AS32" s="312"/>
      <c r="AT32" s="315"/>
      <c r="AU32" s="314"/>
      <c r="AV32" s="312"/>
      <c r="AW32" s="312"/>
      <c r="AX32" s="312"/>
      <c r="AY32" s="315"/>
      <c r="AZ32" s="314"/>
      <c r="BA32" s="312"/>
      <c r="BB32" s="312"/>
      <c r="BC32" s="312"/>
      <c r="BD32" s="315"/>
      <c r="BE32" s="314"/>
      <c r="BF32" s="312"/>
      <c r="BG32" s="312"/>
      <c r="BH32" s="312"/>
      <c r="BI32" s="315"/>
      <c r="BJ32" s="314"/>
      <c r="BK32" s="312"/>
      <c r="BL32" s="312"/>
      <c r="BM32" s="312"/>
      <c r="BN32" s="315"/>
      <c r="BO32" s="314"/>
      <c r="BP32" s="312"/>
      <c r="BQ32" s="312"/>
      <c r="BR32" s="312"/>
      <c r="BS32" s="315"/>
      <c r="BT32" s="314"/>
      <c r="BU32" s="312"/>
      <c r="BV32" s="312"/>
      <c r="BW32" s="312"/>
      <c r="BX32" s="315"/>
      <c r="BY32" s="314"/>
      <c r="BZ32" s="312"/>
      <c r="CA32" s="312"/>
      <c r="CB32" s="312"/>
      <c r="CC32" s="315"/>
      <c r="CD32" s="314"/>
      <c r="CE32" s="312"/>
      <c r="CF32" s="312"/>
      <c r="CG32" s="312"/>
      <c r="CH32" s="315"/>
      <c r="CI32" s="314"/>
      <c r="CJ32" s="312"/>
      <c r="CK32" s="312"/>
      <c r="CL32" s="312"/>
      <c r="CM32" s="315"/>
      <c r="CN32" s="314"/>
      <c r="CO32" s="312"/>
      <c r="CP32" s="312"/>
      <c r="CQ32" s="312"/>
      <c r="CR32" s="315"/>
      <c r="CS32" s="314"/>
      <c r="CT32" s="312"/>
      <c r="CU32" s="312"/>
      <c r="CV32" s="312"/>
      <c r="CW32" s="315"/>
      <c r="CX32" s="314"/>
      <c r="CY32" s="312"/>
      <c r="CZ32" s="312"/>
      <c r="DA32" s="312"/>
      <c r="DB32" s="315"/>
      <c r="DC32" s="314"/>
      <c r="DD32" s="312"/>
      <c r="DE32" s="312"/>
      <c r="DF32" s="312"/>
      <c r="DG32" s="313"/>
      <c r="DH32" s="314"/>
      <c r="DI32" s="312"/>
      <c r="DJ32" s="312"/>
      <c r="DK32" s="312"/>
      <c r="DL32" s="313"/>
      <c r="DM32" s="305">
        <f>COUNTIF($G$32:$DL$32,"/")</f>
        <v>0</v>
      </c>
      <c r="DN32" s="305">
        <f>COUNTIF($G$32:$DL$32,"ป")</f>
        <v>0</v>
      </c>
      <c r="DO32" s="305">
        <f>COUNTIF($G$32:$DL$32,"ล")</f>
        <v>0</v>
      </c>
      <c r="DP32" s="305">
        <f>COUNTIF($G$32:$DL$32,"ข")</f>
        <v>0</v>
      </c>
      <c r="DQ32" s="304" t="e">
        <f t="shared" si="1"/>
        <v>#DIV/0!</v>
      </c>
      <c r="DR32" s="355">
        <f t="shared" si="0"/>
        <v>0</v>
      </c>
      <c r="DW32" s="175">
        <v>32</v>
      </c>
    </row>
    <row r="33" spans="1:127" ht="18" customHeight="1" x14ac:dyDescent="0.3">
      <c r="A33" s="309">
        <f>ปพ.5!$A$33</f>
        <v>28</v>
      </c>
      <c r="B33" s="322" t="str">
        <f>ปพ.5!$B$33</f>
        <v>7080</v>
      </c>
      <c r="C33" s="352" t="str">
        <f>ปพ.5!$C$33</f>
        <v>1103200236351</v>
      </c>
      <c r="D33" s="582" t="str">
        <f>ปพ.5!$D$33</f>
        <v>เด็กชาย รัชชานนท์  ทรัพย์สนอง</v>
      </c>
      <c r="E33" s="583"/>
      <c r="F33" s="584"/>
      <c r="G33" s="311"/>
      <c r="H33" s="312"/>
      <c r="I33" s="312"/>
      <c r="J33" s="312"/>
      <c r="K33" s="313"/>
      <c r="L33" s="314"/>
      <c r="M33" s="312"/>
      <c r="N33" s="312"/>
      <c r="O33" s="312"/>
      <c r="P33" s="315"/>
      <c r="Q33" s="314"/>
      <c r="R33" s="312"/>
      <c r="S33" s="312"/>
      <c r="T33" s="312"/>
      <c r="U33" s="315"/>
      <c r="V33" s="314"/>
      <c r="W33" s="312"/>
      <c r="X33" s="312"/>
      <c r="Y33" s="312"/>
      <c r="Z33" s="315"/>
      <c r="AA33" s="314"/>
      <c r="AB33" s="312"/>
      <c r="AC33" s="312"/>
      <c r="AD33" s="312"/>
      <c r="AE33" s="315"/>
      <c r="AF33" s="314"/>
      <c r="AG33" s="312"/>
      <c r="AH33" s="312"/>
      <c r="AI33" s="312"/>
      <c r="AJ33" s="315"/>
      <c r="AK33" s="314"/>
      <c r="AL33" s="312"/>
      <c r="AM33" s="312"/>
      <c r="AN33" s="312"/>
      <c r="AO33" s="315"/>
      <c r="AP33" s="314"/>
      <c r="AQ33" s="312"/>
      <c r="AR33" s="312"/>
      <c r="AS33" s="312"/>
      <c r="AT33" s="315"/>
      <c r="AU33" s="314"/>
      <c r="AV33" s="312"/>
      <c r="AW33" s="312"/>
      <c r="AX33" s="312"/>
      <c r="AY33" s="315"/>
      <c r="AZ33" s="314"/>
      <c r="BA33" s="312"/>
      <c r="BB33" s="312"/>
      <c r="BC33" s="312"/>
      <c r="BD33" s="315"/>
      <c r="BE33" s="314"/>
      <c r="BF33" s="312"/>
      <c r="BG33" s="312"/>
      <c r="BH33" s="312"/>
      <c r="BI33" s="315"/>
      <c r="BJ33" s="314"/>
      <c r="BK33" s="312"/>
      <c r="BL33" s="312"/>
      <c r="BM33" s="312"/>
      <c r="BN33" s="315"/>
      <c r="BO33" s="314"/>
      <c r="BP33" s="312"/>
      <c r="BQ33" s="312"/>
      <c r="BR33" s="312"/>
      <c r="BS33" s="315"/>
      <c r="BT33" s="314"/>
      <c r="BU33" s="312"/>
      <c r="BV33" s="312"/>
      <c r="BW33" s="312"/>
      <c r="BX33" s="315"/>
      <c r="BY33" s="314"/>
      <c r="BZ33" s="312"/>
      <c r="CA33" s="312"/>
      <c r="CB33" s="312"/>
      <c r="CC33" s="315"/>
      <c r="CD33" s="314"/>
      <c r="CE33" s="312"/>
      <c r="CF33" s="312"/>
      <c r="CG33" s="312"/>
      <c r="CH33" s="315"/>
      <c r="CI33" s="314"/>
      <c r="CJ33" s="312"/>
      <c r="CK33" s="312"/>
      <c r="CL33" s="312"/>
      <c r="CM33" s="315"/>
      <c r="CN33" s="314"/>
      <c r="CO33" s="312"/>
      <c r="CP33" s="312"/>
      <c r="CQ33" s="312"/>
      <c r="CR33" s="315"/>
      <c r="CS33" s="314"/>
      <c r="CT33" s="312"/>
      <c r="CU33" s="312"/>
      <c r="CV33" s="312"/>
      <c r="CW33" s="315"/>
      <c r="CX33" s="314"/>
      <c r="CY33" s="312"/>
      <c r="CZ33" s="312"/>
      <c r="DA33" s="312"/>
      <c r="DB33" s="315"/>
      <c r="DC33" s="314"/>
      <c r="DD33" s="312"/>
      <c r="DE33" s="312"/>
      <c r="DF33" s="312"/>
      <c r="DG33" s="313"/>
      <c r="DH33" s="314"/>
      <c r="DI33" s="312"/>
      <c r="DJ33" s="312"/>
      <c r="DK33" s="312"/>
      <c r="DL33" s="313"/>
      <c r="DM33" s="305">
        <f>COUNTIF($G$33:$DL$33,"/")</f>
        <v>0</v>
      </c>
      <c r="DN33" s="305">
        <f>COUNTIF($G$33:$DL$33,"ป")</f>
        <v>0</v>
      </c>
      <c r="DO33" s="305">
        <f>COUNTIF($G$33:$DL$33,"ล")</f>
        <v>0</v>
      </c>
      <c r="DP33" s="305">
        <f>COUNTIF($G$33:$DL$33,"ข")</f>
        <v>0</v>
      </c>
      <c r="DQ33" s="304" t="e">
        <f t="shared" si="1"/>
        <v>#DIV/0!</v>
      </c>
      <c r="DR33" s="355">
        <f t="shared" si="0"/>
        <v>0</v>
      </c>
      <c r="DW33" s="175">
        <v>33</v>
      </c>
    </row>
    <row r="34" spans="1:127" ht="18" customHeight="1" x14ac:dyDescent="0.3">
      <c r="A34" s="309">
        <f>ปพ.5!$A$34</f>
        <v>29</v>
      </c>
      <c r="B34" s="322" t="str">
        <f>ปพ.5!$B$34</f>
        <v>7083</v>
      </c>
      <c r="C34" s="352" t="str">
        <f>ปพ.5!$C$34</f>
        <v>1559900599172</v>
      </c>
      <c r="D34" s="582" t="str">
        <f>ปพ.5!$D$34</f>
        <v>เด็กหญิง หทัยกาญจม์  อิ่นแก้ว</v>
      </c>
      <c r="E34" s="583"/>
      <c r="F34" s="584"/>
      <c r="G34" s="311"/>
      <c r="H34" s="312"/>
      <c r="I34" s="312"/>
      <c r="J34" s="312"/>
      <c r="K34" s="313"/>
      <c r="L34" s="314"/>
      <c r="M34" s="312"/>
      <c r="N34" s="312"/>
      <c r="O34" s="312"/>
      <c r="P34" s="315"/>
      <c r="Q34" s="314"/>
      <c r="R34" s="312"/>
      <c r="S34" s="312"/>
      <c r="T34" s="312"/>
      <c r="U34" s="315"/>
      <c r="V34" s="314"/>
      <c r="W34" s="312"/>
      <c r="X34" s="312"/>
      <c r="Y34" s="312"/>
      <c r="Z34" s="315"/>
      <c r="AA34" s="314"/>
      <c r="AB34" s="312"/>
      <c r="AC34" s="312"/>
      <c r="AD34" s="312"/>
      <c r="AE34" s="315"/>
      <c r="AF34" s="314"/>
      <c r="AG34" s="312"/>
      <c r="AH34" s="312"/>
      <c r="AI34" s="312"/>
      <c r="AJ34" s="315"/>
      <c r="AK34" s="314"/>
      <c r="AL34" s="312"/>
      <c r="AM34" s="312"/>
      <c r="AN34" s="312"/>
      <c r="AO34" s="315"/>
      <c r="AP34" s="314"/>
      <c r="AQ34" s="312"/>
      <c r="AR34" s="312"/>
      <c r="AS34" s="312"/>
      <c r="AT34" s="315"/>
      <c r="AU34" s="314"/>
      <c r="AV34" s="312"/>
      <c r="AW34" s="312"/>
      <c r="AX34" s="312"/>
      <c r="AY34" s="315"/>
      <c r="AZ34" s="314"/>
      <c r="BA34" s="312"/>
      <c r="BB34" s="312"/>
      <c r="BC34" s="312"/>
      <c r="BD34" s="315"/>
      <c r="BE34" s="314"/>
      <c r="BF34" s="312"/>
      <c r="BG34" s="312"/>
      <c r="BH34" s="312"/>
      <c r="BI34" s="315"/>
      <c r="BJ34" s="314"/>
      <c r="BK34" s="312"/>
      <c r="BL34" s="312"/>
      <c r="BM34" s="312"/>
      <c r="BN34" s="315"/>
      <c r="BO34" s="314"/>
      <c r="BP34" s="312"/>
      <c r="BQ34" s="312"/>
      <c r="BR34" s="312"/>
      <c r="BS34" s="315"/>
      <c r="BT34" s="314"/>
      <c r="BU34" s="312"/>
      <c r="BV34" s="312"/>
      <c r="BW34" s="312"/>
      <c r="BX34" s="315"/>
      <c r="BY34" s="314"/>
      <c r="BZ34" s="312"/>
      <c r="CA34" s="312"/>
      <c r="CB34" s="312"/>
      <c r="CC34" s="315"/>
      <c r="CD34" s="314"/>
      <c r="CE34" s="312"/>
      <c r="CF34" s="312"/>
      <c r="CG34" s="312"/>
      <c r="CH34" s="315"/>
      <c r="CI34" s="314"/>
      <c r="CJ34" s="312"/>
      <c r="CK34" s="312"/>
      <c r="CL34" s="312"/>
      <c r="CM34" s="315"/>
      <c r="CN34" s="314"/>
      <c r="CO34" s="312"/>
      <c r="CP34" s="312"/>
      <c r="CQ34" s="312"/>
      <c r="CR34" s="315"/>
      <c r="CS34" s="314"/>
      <c r="CT34" s="312"/>
      <c r="CU34" s="312"/>
      <c r="CV34" s="312"/>
      <c r="CW34" s="315"/>
      <c r="CX34" s="314"/>
      <c r="CY34" s="312"/>
      <c r="CZ34" s="312"/>
      <c r="DA34" s="312"/>
      <c r="DB34" s="315"/>
      <c r="DC34" s="314"/>
      <c r="DD34" s="312"/>
      <c r="DE34" s="312"/>
      <c r="DF34" s="312"/>
      <c r="DG34" s="313"/>
      <c r="DH34" s="314"/>
      <c r="DI34" s="312"/>
      <c r="DJ34" s="312"/>
      <c r="DK34" s="312"/>
      <c r="DL34" s="313"/>
      <c r="DM34" s="305">
        <f>COUNTIF($G$34:$DL$34,"/")</f>
        <v>0</v>
      </c>
      <c r="DN34" s="305">
        <f>COUNTIF($G$34:$DL$34,"ป")</f>
        <v>0</v>
      </c>
      <c r="DO34" s="305">
        <f>COUNTIF($G$34:$DL$34,"ล")</f>
        <v>0</v>
      </c>
      <c r="DP34" s="305">
        <f>COUNTIF($G$34:$DL$34,"ข")</f>
        <v>0</v>
      </c>
      <c r="DQ34" s="304" t="e">
        <f t="shared" si="1"/>
        <v>#DIV/0!</v>
      </c>
      <c r="DR34" s="355">
        <f t="shared" si="0"/>
        <v>0</v>
      </c>
      <c r="DW34" s="175">
        <v>34</v>
      </c>
    </row>
    <row r="35" spans="1:127" ht="18" customHeight="1" x14ac:dyDescent="0.3">
      <c r="A35" s="309">
        <f>ปพ.5!$A$35</f>
        <v>30</v>
      </c>
      <c r="B35" s="322" t="str">
        <f>ปพ.5!$B$35</f>
        <v>7226</v>
      </c>
      <c r="C35" s="352" t="str">
        <f>ปพ.5!$C$35</f>
        <v>1379900471933</v>
      </c>
      <c r="D35" s="582" t="str">
        <f>ปพ.5!$D$35</f>
        <v>เด็กชาย วีระยุทธ์  เนื้อทอง</v>
      </c>
      <c r="E35" s="583"/>
      <c r="F35" s="584"/>
      <c r="G35" s="311"/>
      <c r="H35" s="312"/>
      <c r="I35" s="312"/>
      <c r="J35" s="312"/>
      <c r="K35" s="313"/>
      <c r="L35" s="314"/>
      <c r="M35" s="312"/>
      <c r="N35" s="312"/>
      <c r="O35" s="312"/>
      <c r="P35" s="315"/>
      <c r="Q35" s="314"/>
      <c r="R35" s="312"/>
      <c r="S35" s="312"/>
      <c r="T35" s="312"/>
      <c r="U35" s="315"/>
      <c r="V35" s="314"/>
      <c r="W35" s="312"/>
      <c r="X35" s="312"/>
      <c r="Y35" s="312"/>
      <c r="Z35" s="315"/>
      <c r="AA35" s="314"/>
      <c r="AB35" s="312"/>
      <c r="AC35" s="312"/>
      <c r="AD35" s="312"/>
      <c r="AE35" s="315"/>
      <c r="AF35" s="314"/>
      <c r="AG35" s="312"/>
      <c r="AH35" s="312"/>
      <c r="AI35" s="312"/>
      <c r="AJ35" s="315"/>
      <c r="AK35" s="314"/>
      <c r="AL35" s="312"/>
      <c r="AM35" s="312"/>
      <c r="AN35" s="312"/>
      <c r="AO35" s="315"/>
      <c r="AP35" s="314"/>
      <c r="AQ35" s="312"/>
      <c r="AR35" s="312"/>
      <c r="AS35" s="312"/>
      <c r="AT35" s="315"/>
      <c r="AU35" s="314"/>
      <c r="AV35" s="312"/>
      <c r="AW35" s="312"/>
      <c r="AX35" s="312"/>
      <c r="AY35" s="315"/>
      <c r="AZ35" s="314"/>
      <c r="BA35" s="312"/>
      <c r="BB35" s="312"/>
      <c r="BC35" s="312"/>
      <c r="BD35" s="315"/>
      <c r="BE35" s="314"/>
      <c r="BF35" s="312"/>
      <c r="BG35" s="312"/>
      <c r="BH35" s="312"/>
      <c r="BI35" s="315"/>
      <c r="BJ35" s="314"/>
      <c r="BK35" s="312"/>
      <c r="BL35" s="312"/>
      <c r="BM35" s="312"/>
      <c r="BN35" s="315"/>
      <c r="BO35" s="314"/>
      <c r="BP35" s="312"/>
      <c r="BQ35" s="312"/>
      <c r="BR35" s="312"/>
      <c r="BS35" s="315"/>
      <c r="BT35" s="314"/>
      <c r="BU35" s="312"/>
      <c r="BV35" s="312"/>
      <c r="BW35" s="312"/>
      <c r="BX35" s="315"/>
      <c r="BY35" s="314"/>
      <c r="BZ35" s="312"/>
      <c r="CA35" s="312"/>
      <c r="CB35" s="312"/>
      <c r="CC35" s="315"/>
      <c r="CD35" s="314"/>
      <c r="CE35" s="312"/>
      <c r="CF35" s="312"/>
      <c r="CG35" s="312"/>
      <c r="CH35" s="315"/>
      <c r="CI35" s="314"/>
      <c r="CJ35" s="312"/>
      <c r="CK35" s="312"/>
      <c r="CL35" s="312"/>
      <c r="CM35" s="315"/>
      <c r="CN35" s="314"/>
      <c r="CO35" s="312"/>
      <c r="CP35" s="312"/>
      <c r="CQ35" s="312"/>
      <c r="CR35" s="315"/>
      <c r="CS35" s="314"/>
      <c r="CT35" s="312"/>
      <c r="CU35" s="312"/>
      <c r="CV35" s="312"/>
      <c r="CW35" s="315"/>
      <c r="CX35" s="314"/>
      <c r="CY35" s="312"/>
      <c r="CZ35" s="312"/>
      <c r="DA35" s="312"/>
      <c r="DB35" s="315"/>
      <c r="DC35" s="314"/>
      <c r="DD35" s="312"/>
      <c r="DE35" s="312"/>
      <c r="DF35" s="312"/>
      <c r="DG35" s="313"/>
      <c r="DH35" s="314"/>
      <c r="DI35" s="312"/>
      <c r="DJ35" s="312"/>
      <c r="DK35" s="312"/>
      <c r="DL35" s="313"/>
      <c r="DM35" s="305">
        <f>COUNTIF($G$35:$DL$35,"/")</f>
        <v>0</v>
      </c>
      <c r="DN35" s="305">
        <f>COUNTIF($G$35:$DL$35,"ป")</f>
        <v>0</v>
      </c>
      <c r="DO35" s="305">
        <f>COUNTIF($G$35:$DL$35,"ล")</f>
        <v>0</v>
      </c>
      <c r="DP35" s="305">
        <f>COUNTIF($G$35:$DL$35,"ข")</f>
        <v>0</v>
      </c>
      <c r="DQ35" s="304" t="e">
        <f t="shared" si="1"/>
        <v>#DIV/0!</v>
      </c>
      <c r="DR35" s="355">
        <f t="shared" si="0"/>
        <v>0</v>
      </c>
      <c r="DW35" s="175">
        <v>35</v>
      </c>
    </row>
    <row r="36" spans="1:127" ht="18" customHeight="1" x14ac:dyDescent="0.3">
      <c r="A36" s="309">
        <f>ปพ.5!$A$36</f>
        <v>31</v>
      </c>
      <c r="B36" s="322" t="str">
        <f>ปพ.5!$B$36</f>
        <v>7643</v>
      </c>
      <c r="C36" s="352" t="str">
        <f>ปพ.5!$C$36</f>
        <v>1103200242016</v>
      </c>
      <c r="D36" s="582" t="str">
        <f>ปพ.5!$D$36</f>
        <v>เด็กหญิง ชัชชญา  แสงจุ้ยวงษ์</v>
      </c>
      <c r="E36" s="583"/>
      <c r="F36" s="584"/>
      <c r="G36" s="311"/>
      <c r="H36" s="312"/>
      <c r="I36" s="312"/>
      <c r="J36" s="312"/>
      <c r="K36" s="313"/>
      <c r="L36" s="314"/>
      <c r="M36" s="312"/>
      <c r="N36" s="312"/>
      <c r="O36" s="312"/>
      <c r="P36" s="315"/>
      <c r="Q36" s="314"/>
      <c r="R36" s="312"/>
      <c r="S36" s="312"/>
      <c r="T36" s="312"/>
      <c r="U36" s="315"/>
      <c r="V36" s="314"/>
      <c r="W36" s="312"/>
      <c r="X36" s="312"/>
      <c r="Y36" s="312"/>
      <c r="Z36" s="315"/>
      <c r="AA36" s="314"/>
      <c r="AB36" s="312"/>
      <c r="AC36" s="312"/>
      <c r="AD36" s="312"/>
      <c r="AE36" s="315"/>
      <c r="AF36" s="314"/>
      <c r="AG36" s="312"/>
      <c r="AH36" s="312"/>
      <c r="AI36" s="312"/>
      <c r="AJ36" s="315"/>
      <c r="AK36" s="314"/>
      <c r="AL36" s="312"/>
      <c r="AM36" s="312"/>
      <c r="AN36" s="312"/>
      <c r="AO36" s="315"/>
      <c r="AP36" s="314"/>
      <c r="AQ36" s="312"/>
      <c r="AR36" s="312"/>
      <c r="AS36" s="312"/>
      <c r="AT36" s="315"/>
      <c r="AU36" s="314"/>
      <c r="AV36" s="312"/>
      <c r="AW36" s="312"/>
      <c r="AX36" s="312"/>
      <c r="AY36" s="315"/>
      <c r="AZ36" s="314"/>
      <c r="BA36" s="312"/>
      <c r="BB36" s="312"/>
      <c r="BC36" s="312"/>
      <c r="BD36" s="315"/>
      <c r="BE36" s="314"/>
      <c r="BF36" s="312"/>
      <c r="BG36" s="312"/>
      <c r="BH36" s="312"/>
      <c r="BI36" s="315"/>
      <c r="BJ36" s="314"/>
      <c r="BK36" s="312"/>
      <c r="BL36" s="312"/>
      <c r="BM36" s="312"/>
      <c r="BN36" s="315"/>
      <c r="BO36" s="314"/>
      <c r="BP36" s="312"/>
      <c r="BQ36" s="312"/>
      <c r="BR36" s="312"/>
      <c r="BS36" s="315"/>
      <c r="BT36" s="314"/>
      <c r="BU36" s="312"/>
      <c r="BV36" s="312"/>
      <c r="BW36" s="312"/>
      <c r="BX36" s="315"/>
      <c r="BY36" s="314"/>
      <c r="BZ36" s="312"/>
      <c r="CA36" s="312"/>
      <c r="CB36" s="312"/>
      <c r="CC36" s="315"/>
      <c r="CD36" s="314"/>
      <c r="CE36" s="312"/>
      <c r="CF36" s="312"/>
      <c r="CG36" s="312"/>
      <c r="CH36" s="315"/>
      <c r="CI36" s="314"/>
      <c r="CJ36" s="312"/>
      <c r="CK36" s="312"/>
      <c r="CL36" s="312"/>
      <c r="CM36" s="315"/>
      <c r="CN36" s="314"/>
      <c r="CO36" s="312"/>
      <c r="CP36" s="312"/>
      <c r="CQ36" s="312"/>
      <c r="CR36" s="315"/>
      <c r="CS36" s="314"/>
      <c r="CT36" s="312"/>
      <c r="CU36" s="312"/>
      <c r="CV36" s="312"/>
      <c r="CW36" s="315"/>
      <c r="CX36" s="314"/>
      <c r="CY36" s="312"/>
      <c r="CZ36" s="312"/>
      <c r="DA36" s="312"/>
      <c r="DB36" s="315"/>
      <c r="DC36" s="314"/>
      <c r="DD36" s="312"/>
      <c r="DE36" s="312"/>
      <c r="DF36" s="312"/>
      <c r="DG36" s="313"/>
      <c r="DH36" s="314"/>
      <c r="DI36" s="312"/>
      <c r="DJ36" s="312"/>
      <c r="DK36" s="312"/>
      <c r="DL36" s="313"/>
      <c r="DM36" s="305">
        <f>COUNTIF($G$36:$DL$36,"/")</f>
        <v>0</v>
      </c>
      <c r="DN36" s="305">
        <f>COUNTIF($G$36:$DL$36,"ป")</f>
        <v>0</v>
      </c>
      <c r="DO36" s="305">
        <f>COUNTIF($G$36:$DL$36,"ล")</f>
        <v>0</v>
      </c>
      <c r="DP36" s="305">
        <f>COUNTIF($G$36:$DL$36,"ข")</f>
        <v>0</v>
      </c>
      <c r="DQ36" s="304" t="e">
        <f t="shared" si="1"/>
        <v>#DIV/0!</v>
      </c>
      <c r="DR36" s="355">
        <f t="shared" si="0"/>
        <v>0</v>
      </c>
      <c r="DW36" s="175">
        <v>36</v>
      </c>
    </row>
    <row r="37" spans="1:127" ht="18" customHeight="1" x14ac:dyDescent="0.3">
      <c r="A37" s="309">
        <f>ปพ.5!$A$37</f>
        <v>32</v>
      </c>
      <c r="B37" s="322" t="str">
        <f>ปพ.5!$B$37</f>
        <v>7770</v>
      </c>
      <c r="C37" s="352" t="str">
        <f>ปพ.5!$C$37</f>
        <v>1309903821005</v>
      </c>
      <c r="D37" s="582" t="str">
        <f>ปพ.5!$D$37</f>
        <v>เด็กชาย ยศกร  แก้ววิจิตร</v>
      </c>
      <c r="E37" s="583"/>
      <c r="F37" s="584"/>
      <c r="G37" s="311"/>
      <c r="H37" s="312"/>
      <c r="I37" s="312"/>
      <c r="J37" s="312"/>
      <c r="K37" s="313"/>
      <c r="L37" s="314"/>
      <c r="M37" s="312"/>
      <c r="N37" s="312"/>
      <c r="O37" s="312"/>
      <c r="P37" s="315"/>
      <c r="Q37" s="314"/>
      <c r="R37" s="312"/>
      <c r="S37" s="312"/>
      <c r="T37" s="312"/>
      <c r="U37" s="315"/>
      <c r="V37" s="314"/>
      <c r="W37" s="312"/>
      <c r="X37" s="312"/>
      <c r="Y37" s="312"/>
      <c r="Z37" s="315"/>
      <c r="AA37" s="314"/>
      <c r="AB37" s="312"/>
      <c r="AC37" s="312"/>
      <c r="AD37" s="312"/>
      <c r="AE37" s="315"/>
      <c r="AF37" s="314"/>
      <c r="AG37" s="312"/>
      <c r="AH37" s="312"/>
      <c r="AI37" s="312"/>
      <c r="AJ37" s="315"/>
      <c r="AK37" s="314"/>
      <c r="AL37" s="312"/>
      <c r="AM37" s="312"/>
      <c r="AN37" s="312"/>
      <c r="AO37" s="315"/>
      <c r="AP37" s="314"/>
      <c r="AQ37" s="312"/>
      <c r="AR37" s="312"/>
      <c r="AS37" s="312"/>
      <c r="AT37" s="315"/>
      <c r="AU37" s="314"/>
      <c r="AV37" s="312"/>
      <c r="AW37" s="312"/>
      <c r="AX37" s="312"/>
      <c r="AY37" s="315"/>
      <c r="AZ37" s="314"/>
      <c r="BA37" s="312"/>
      <c r="BB37" s="312"/>
      <c r="BC37" s="312"/>
      <c r="BD37" s="315"/>
      <c r="BE37" s="314"/>
      <c r="BF37" s="312"/>
      <c r="BG37" s="312"/>
      <c r="BH37" s="312"/>
      <c r="BI37" s="315"/>
      <c r="BJ37" s="314"/>
      <c r="BK37" s="312"/>
      <c r="BL37" s="312"/>
      <c r="BM37" s="312"/>
      <c r="BN37" s="315"/>
      <c r="BO37" s="314"/>
      <c r="BP37" s="312"/>
      <c r="BQ37" s="312"/>
      <c r="BR37" s="312"/>
      <c r="BS37" s="315"/>
      <c r="BT37" s="314"/>
      <c r="BU37" s="312"/>
      <c r="BV37" s="312"/>
      <c r="BW37" s="312"/>
      <c r="BX37" s="315"/>
      <c r="BY37" s="314"/>
      <c r="BZ37" s="312"/>
      <c r="CA37" s="312"/>
      <c r="CB37" s="312"/>
      <c r="CC37" s="315"/>
      <c r="CD37" s="314"/>
      <c r="CE37" s="312"/>
      <c r="CF37" s="312"/>
      <c r="CG37" s="312"/>
      <c r="CH37" s="315"/>
      <c r="CI37" s="314"/>
      <c r="CJ37" s="312"/>
      <c r="CK37" s="312"/>
      <c r="CL37" s="312"/>
      <c r="CM37" s="315"/>
      <c r="CN37" s="314"/>
      <c r="CO37" s="312"/>
      <c r="CP37" s="312"/>
      <c r="CQ37" s="312"/>
      <c r="CR37" s="315"/>
      <c r="CS37" s="314"/>
      <c r="CT37" s="312"/>
      <c r="CU37" s="312"/>
      <c r="CV37" s="312"/>
      <c r="CW37" s="315"/>
      <c r="CX37" s="314"/>
      <c r="CY37" s="312"/>
      <c r="CZ37" s="312"/>
      <c r="DA37" s="312"/>
      <c r="DB37" s="315"/>
      <c r="DC37" s="314"/>
      <c r="DD37" s="312"/>
      <c r="DE37" s="312"/>
      <c r="DF37" s="312"/>
      <c r="DG37" s="313"/>
      <c r="DH37" s="314"/>
      <c r="DI37" s="312"/>
      <c r="DJ37" s="312"/>
      <c r="DK37" s="312"/>
      <c r="DL37" s="313"/>
      <c r="DM37" s="305">
        <f>COUNTIF($G$37:$DL$37,"/")</f>
        <v>0</v>
      </c>
      <c r="DN37" s="305">
        <f>COUNTIF($G$37:$DL$37,"ป")</f>
        <v>0</v>
      </c>
      <c r="DO37" s="305">
        <f>COUNTIF($G$37:$DL$37,"ล")</f>
        <v>0</v>
      </c>
      <c r="DP37" s="305">
        <f>COUNTIF($G$37:$DL$37,"ข")</f>
        <v>0</v>
      </c>
      <c r="DQ37" s="304" t="e">
        <f t="shared" si="1"/>
        <v>#DIV/0!</v>
      </c>
      <c r="DR37" s="355">
        <f t="shared" si="0"/>
        <v>0</v>
      </c>
      <c r="DW37" s="175">
        <v>37</v>
      </c>
    </row>
    <row r="38" spans="1:127" ht="18" customHeight="1" x14ac:dyDescent="0.3">
      <c r="A38" s="309">
        <f>ปพ.5!$A$38</f>
        <v>33</v>
      </c>
      <c r="B38" s="322">
        <f>ปพ.5!$B$38</f>
        <v>0</v>
      </c>
      <c r="C38" s="352">
        <f>ปพ.5!$C$38</f>
        <v>0</v>
      </c>
      <c r="D38" s="582">
        <f>ปพ.5!$D$38</f>
        <v>0</v>
      </c>
      <c r="E38" s="583"/>
      <c r="F38" s="584"/>
      <c r="G38" s="311"/>
      <c r="H38" s="312"/>
      <c r="I38" s="312"/>
      <c r="J38" s="312"/>
      <c r="K38" s="313"/>
      <c r="L38" s="314"/>
      <c r="M38" s="312"/>
      <c r="N38" s="312"/>
      <c r="O38" s="312"/>
      <c r="P38" s="315"/>
      <c r="Q38" s="314"/>
      <c r="R38" s="312"/>
      <c r="S38" s="312"/>
      <c r="T38" s="312"/>
      <c r="U38" s="315"/>
      <c r="V38" s="314"/>
      <c r="W38" s="312"/>
      <c r="X38" s="312"/>
      <c r="Y38" s="312"/>
      <c r="Z38" s="315"/>
      <c r="AA38" s="314"/>
      <c r="AB38" s="312"/>
      <c r="AC38" s="312"/>
      <c r="AD38" s="312"/>
      <c r="AE38" s="315"/>
      <c r="AF38" s="314"/>
      <c r="AG38" s="312"/>
      <c r="AH38" s="312"/>
      <c r="AI38" s="312"/>
      <c r="AJ38" s="315"/>
      <c r="AK38" s="314"/>
      <c r="AL38" s="312"/>
      <c r="AM38" s="312"/>
      <c r="AN38" s="312"/>
      <c r="AO38" s="315"/>
      <c r="AP38" s="314"/>
      <c r="AQ38" s="312"/>
      <c r="AR38" s="312"/>
      <c r="AS38" s="312"/>
      <c r="AT38" s="315"/>
      <c r="AU38" s="314"/>
      <c r="AV38" s="312"/>
      <c r="AW38" s="312"/>
      <c r="AX38" s="312"/>
      <c r="AY38" s="315"/>
      <c r="AZ38" s="314"/>
      <c r="BA38" s="312"/>
      <c r="BB38" s="312"/>
      <c r="BC38" s="312"/>
      <c r="BD38" s="315"/>
      <c r="BE38" s="314"/>
      <c r="BF38" s="312"/>
      <c r="BG38" s="312"/>
      <c r="BH38" s="312"/>
      <c r="BI38" s="315"/>
      <c r="BJ38" s="314"/>
      <c r="BK38" s="312"/>
      <c r="BL38" s="312"/>
      <c r="BM38" s="312"/>
      <c r="BN38" s="315"/>
      <c r="BO38" s="314"/>
      <c r="BP38" s="312"/>
      <c r="BQ38" s="312"/>
      <c r="BR38" s="312"/>
      <c r="BS38" s="315"/>
      <c r="BT38" s="314"/>
      <c r="BU38" s="312"/>
      <c r="BV38" s="312"/>
      <c r="BW38" s="312"/>
      <c r="BX38" s="315"/>
      <c r="BY38" s="314"/>
      <c r="BZ38" s="312"/>
      <c r="CA38" s="312"/>
      <c r="CB38" s="312"/>
      <c r="CC38" s="315"/>
      <c r="CD38" s="314"/>
      <c r="CE38" s="312"/>
      <c r="CF38" s="312"/>
      <c r="CG38" s="312"/>
      <c r="CH38" s="315"/>
      <c r="CI38" s="314"/>
      <c r="CJ38" s="312"/>
      <c r="CK38" s="312"/>
      <c r="CL38" s="312"/>
      <c r="CM38" s="315"/>
      <c r="CN38" s="314"/>
      <c r="CO38" s="312"/>
      <c r="CP38" s="312"/>
      <c r="CQ38" s="312"/>
      <c r="CR38" s="315"/>
      <c r="CS38" s="314"/>
      <c r="CT38" s="312"/>
      <c r="CU38" s="312"/>
      <c r="CV38" s="312"/>
      <c r="CW38" s="315"/>
      <c r="CX38" s="314"/>
      <c r="CY38" s="312"/>
      <c r="CZ38" s="312"/>
      <c r="DA38" s="312"/>
      <c r="DB38" s="315"/>
      <c r="DC38" s="314"/>
      <c r="DD38" s="312"/>
      <c r="DE38" s="312"/>
      <c r="DF38" s="312"/>
      <c r="DG38" s="313"/>
      <c r="DH38" s="314"/>
      <c r="DI38" s="312"/>
      <c r="DJ38" s="312"/>
      <c r="DK38" s="312"/>
      <c r="DL38" s="313"/>
      <c r="DM38" s="305">
        <f>COUNTIF($G$38:$DL$38,"/")</f>
        <v>0</v>
      </c>
      <c r="DN38" s="305">
        <f>COUNTIF($G$38:$DL$38,"ป")</f>
        <v>0</v>
      </c>
      <c r="DO38" s="305">
        <f>COUNTIF($G$38:$DL$38,"ล")</f>
        <v>0</v>
      </c>
      <c r="DP38" s="305">
        <f>COUNTIF($G$38:$DL$38,"ข")</f>
        <v>0</v>
      </c>
      <c r="DQ38" s="304" t="e">
        <f t="shared" si="1"/>
        <v>#DIV/0!</v>
      </c>
      <c r="DR38" s="355">
        <f t="shared" si="0"/>
        <v>0</v>
      </c>
      <c r="DW38" s="175">
        <v>38</v>
      </c>
    </row>
    <row r="39" spans="1:127" ht="18" customHeight="1" x14ac:dyDescent="0.3">
      <c r="A39" s="309">
        <f>ปพ.5!$A$39</f>
        <v>34</v>
      </c>
      <c r="B39" s="322">
        <f>ปพ.5!$B$39</f>
        <v>0</v>
      </c>
      <c r="C39" s="352">
        <f>ปพ.5!$C$39</f>
        <v>0</v>
      </c>
      <c r="D39" s="582">
        <f>ปพ.5!$D$39</f>
        <v>0</v>
      </c>
      <c r="E39" s="583"/>
      <c r="F39" s="584"/>
      <c r="G39" s="311"/>
      <c r="H39" s="312"/>
      <c r="I39" s="312"/>
      <c r="J39" s="312"/>
      <c r="K39" s="313"/>
      <c r="L39" s="314"/>
      <c r="M39" s="312"/>
      <c r="N39" s="312"/>
      <c r="O39" s="312"/>
      <c r="P39" s="315"/>
      <c r="Q39" s="314"/>
      <c r="R39" s="312"/>
      <c r="S39" s="312"/>
      <c r="T39" s="312"/>
      <c r="U39" s="315"/>
      <c r="V39" s="314"/>
      <c r="W39" s="312"/>
      <c r="X39" s="312"/>
      <c r="Y39" s="312"/>
      <c r="Z39" s="315"/>
      <c r="AA39" s="314"/>
      <c r="AB39" s="312"/>
      <c r="AC39" s="312"/>
      <c r="AD39" s="312"/>
      <c r="AE39" s="315"/>
      <c r="AF39" s="314"/>
      <c r="AG39" s="312"/>
      <c r="AH39" s="312"/>
      <c r="AI39" s="312"/>
      <c r="AJ39" s="315"/>
      <c r="AK39" s="314"/>
      <c r="AL39" s="312"/>
      <c r="AM39" s="312"/>
      <c r="AN39" s="312"/>
      <c r="AO39" s="315"/>
      <c r="AP39" s="314"/>
      <c r="AQ39" s="312"/>
      <c r="AR39" s="312"/>
      <c r="AS39" s="312"/>
      <c r="AT39" s="315"/>
      <c r="AU39" s="314"/>
      <c r="AV39" s="312"/>
      <c r="AW39" s="312"/>
      <c r="AX39" s="312"/>
      <c r="AY39" s="315"/>
      <c r="AZ39" s="314"/>
      <c r="BA39" s="312"/>
      <c r="BB39" s="312"/>
      <c r="BC39" s="312"/>
      <c r="BD39" s="315"/>
      <c r="BE39" s="314"/>
      <c r="BF39" s="312"/>
      <c r="BG39" s="312"/>
      <c r="BH39" s="312"/>
      <c r="BI39" s="315"/>
      <c r="BJ39" s="314"/>
      <c r="BK39" s="312"/>
      <c r="BL39" s="312"/>
      <c r="BM39" s="312"/>
      <c r="BN39" s="315"/>
      <c r="BO39" s="314"/>
      <c r="BP39" s="312"/>
      <c r="BQ39" s="312"/>
      <c r="BR39" s="312"/>
      <c r="BS39" s="315"/>
      <c r="BT39" s="314"/>
      <c r="BU39" s="312"/>
      <c r="BV39" s="312"/>
      <c r="BW39" s="312"/>
      <c r="BX39" s="315"/>
      <c r="BY39" s="314"/>
      <c r="BZ39" s="312"/>
      <c r="CA39" s="312"/>
      <c r="CB39" s="312"/>
      <c r="CC39" s="315"/>
      <c r="CD39" s="314"/>
      <c r="CE39" s="312"/>
      <c r="CF39" s="312"/>
      <c r="CG39" s="312"/>
      <c r="CH39" s="315"/>
      <c r="CI39" s="314"/>
      <c r="CJ39" s="312"/>
      <c r="CK39" s="312"/>
      <c r="CL39" s="312"/>
      <c r="CM39" s="315"/>
      <c r="CN39" s="314"/>
      <c r="CO39" s="312"/>
      <c r="CP39" s="312"/>
      <c r="CQ39" s="312"/>
      <c r="CR39" s="315"/>
      <c r="CS39" s="314"/>
      <c r="CT39" s="312"/>
      <c r="CU39" s="312"/>
      <c r="CV39" s="312"/>
      <c r="CW39" s="315"/>
      <c r="CX39" s="314"/>
      <c r="CY39" s="312"/>
      <c r="CZ39" s="312"/>
      <c r="DA39" s="312"/>
      <c r="DB39" s="315"/>
      <c r="DC39" s="314"/>
      <c r="DD39" s="312"/>
      <c r="DE39" s="312"/>
      <c r="DF39" s="312"/>
      <c r="DG39" s="313"/>
      <c r="DH39" s="314"/>
      <c r="DI39" s="312"/>
      <c r="DJ39" s="312"/>
      <c r="DK39" s="312"/>
      <c r="DL39" s="313"/>
      <c r="DM39" s="305">
        <f>COUNTIF($G$39:$DL$39,"/")</f>
        <v>0</v>
      </c>
      <c r="DN39" s="305">
        <f>COUNTIF($G$39:$DL$39,"ป")</f>
        <v>0</v>
      </c>
      <c r="DO39" s="305">
        <f>COUNTIF($G$39:$DL$39,"ล")</f>
        <v>0</v>
      </c>
      <c r="DP39" s="305">
        <f>COUNTIF($G$39:$DL$39,"ข")</f>
        <v>0</v>
      </c>
      <c r="DQ39" s="304" t="e">
        <f t="shared" si="1"/>
        <v>#DIV/0!</v>
      </c>
      <c r="DR39" s="355">
        <f t="shared" si="0"/>
        <v>0</v>
      </c>
      <c r="DW39" s="175">
        <v>39</v>
      </c>
    </row>
    <row r="40" spans="1:127" ht="18" customHeight="1" x14ac:dyDescent="0.3">
      <c r="A40" s="309">
        <f>ปพ.5!$A$40</f>
        <v>35</v>
      </c>
      <c r="B40" s="322">
        <f>ปพ.5!$B$40</f>
        <v>0</v>
      </c>
      <c r="C40" s="352">
        <f>ปพ.5!$C$40</f>
        <v>0</v>
      </c>
      <c r="D40" s="582">
        <f>ปพ.5!$D$40</f>
        <v>0</v>
      </c>
      <c r="E40" s="583"/>
      <c r="F40" s="584"/>
      <c r="G40" s="311"/>
      <c r="H40" s="312"/>
      <c r="I40" s="312"/>
      <c r="J40" s="312"/>
      <c r="K40" s="313"/>
      <c r="L40" s="314"/>
      <c r="M40" s="312"/>
      <c r="N40" s="312"/>
      <c r="O40" s="312"/>
      <c r="P40" s="315"/>
      <c r="Q40" s="314"/>
      <c r="R40" s="312"/>
      <c r="S40" s="312"/>
      <c r="T40" s="312"/>
      <c r="U40" s="315"/>
      <c r="V40" s="314"/>
      <c r="W40" s="312"/>
      <c r="X40" s="312"/>
      <c r="Y40" s="312"/>
      <c r="Z40" s="315"/>
      <c r="AA40" s="314"/>
      <c r="AB40" s="312"/>
      <c r="AC40" s="312"/>
      <c r="AD40" s="312"/>
      <c r="AE40" s="315"/>
      <c r="AF40" s="314"/>
      <c r="AG40" s="312"/>
      <c r="AH40" s="312"/>
      <c r="AI40" s="312"/>
      <c r="AJ40" s="315"/>
      <c r="AK40" s="314"/>
      <c r="AL40" s="312"/>
      <c r="AM40" s="312"/>
      <c r="AN40" s="312"/>
      <c r="AO40" s="315"/>
      <c r="AP40" s="314"/>
      <c r="AQ40" s="312"/>
      <c r="AR40" s="312"/>
      <c r="AS40" s="312"/>
      <c r="AT40" s="315"/>
      <c r="AU40" s="314"/>
      <c r="AV40" s="312"/>
      <c r="AW40" s="312"/>
      <c r="AX40" s="312"/>
      <c r="AY40" s="315"/>
      <c r="AZ40" s="314"/>
      <c r="BA40" s="312"/>
      <c r="BB40" s="312"/>
      <c r="BC40" s="312"/>
      <c r="BD40" s="315"/>
      <c r="BE40" s="314"/>
      <c r="BF40" s="312"/>
      <c r="BG40" s="312"/>
      <c r="BH40" s="312"/>
      <c r="BI40" s="315"/>
      <c r="BJ40" s="314"/>
      <c r="BK40" s="312"/>
      <c r="BL40" s="312"/>
      <c r="BM40" s="312"/>
      <c r="BN40" s="315"/>
      <c r="BO40" s="314"/>
      <c r="BP40" s="312"/>
      <c r="BQ40" s="312"/>
      <c r="BR40" s="312"/>
      <c r="BS40" s="315"/>
      <c r="BT40" s="314"/>
      <c r="BU40" s="312"/>
      <c r="BV40" s="312"/>
      <c r="BW40" s="312"/>
      <c r="BX40" s="315"/>
      <c r="BY40" s="314"/>
      <c r="BZ40" s="312"/>
      <c r="CA40" s="312"/>
      <c r="CB40" s="312"/>
      <c r="CC40" s="315"/>
      <c r="CD40" s="314"/>
      <c r="CE40" s="312"/>
      <c r="CF40" s="312"/>
      <c r="CG40" s="312"/>
      <c r="CH40" s="315"/>
      <c r="CI40" s="314"/>
      <c r="CJ40" s="312"/>
      <c r="CK40" s="312"/>
      <c r="CL40" s="312"/>
      <c r="CM40" s="315"/>
      <c r="CN40" s="314"/>
      <c r="CO40" s="312"/>
      <c r="CP40" s="312"/>
      <c r="CQ40" s="312"/>
      <c r="CR40" s="315"/>
      <c r="CS40" s="314"/>
      <c r="CT40" s="312"/>
      <c r="CU40" s="312"/>
      <c r="CV40" s="312"/>
      <c r="CW40" s="315"/>
      <c r="CX40" s="314"/>
      <c r="CY40" s="312"/>
      <c r="CZ40" s="312"/>
      <c r="DA40" s="312"/>
      <c r="DB40" s="315"/>
      <c r="DC40" s="314"/>
      <c r="DD40" s="312"/>
      <c r="DE40" s="312"/>
      <c r="DF40" s="312"/>
      <c r="DG40" s="313"/>
      <c r="DH40" s="314"/>
      <c r="DI40" s="312"/>
      <c r="DJ40" s="312"/>
      <c r="DK40" s="312"/>
      <c r="DL40" s="313"/>
      <c r="DM40" s="305">
        <f>COUNTIF($G$40:$DL$40,"/")</f>
        <v>0</v>
      </c>
      <c r="DN40" s="305">
        <f>COUNTIF($G$40:$DL$40,"ป")</f>
        <v>0</v>
      </c>
      <c r="DO40" s="305">
        <f>COUNTIF($G$40:$DL$40,"ล")</f>
        <v>0</v>
      </c>
      <c r="DP40" s="305">
        <f>COUNTIF($G$40:$DL$40,"ข")</f>
        <v>0</v>
      </c>
      <c r="DQ40" s="304" t="e">
        <f t="shared" si="1"/>
        <v>#DIV/0!</v>
      </c>
      <c r="DR40" s="355">
        <f t="shared" si="0"/>
        <v>0</v>
      </c>
      <c r="DW40" s="175">
        <v>40</v>
      </c>
    </row>
    <row r="41" spans="1:127" ht="18" customHeight="1" x14ac:dyDescent="0.3">
      <c r="A41" s="309">
        <f>ปพ.5!$A$41</f>
        <v>36</v>
      </c>
      <c r="B41" s="322">
        <f>ปพ.5!$B$41</f>
        <v>0</v>
      </c>
      <c r="C41" s="352">
        <f>ปพ.5!$C$41</f>
        <v>0</v>
      </c>
      <c r="D41" s="582">
        <f>ปพ.5!$D$41</f>
        <v>0</v>
      </c>
      <c r="E41" s="583"/>
      <c r="F41" s="584"/>
      <c r="G41" s="311"/>
      <c r="H41" s="312"/>
      <c r="I41" s="312"/>
      <c r="J41" s="312"/>
      <c r="K41" s="313"/>
      <c r="L41" s="314"/>
      <c r="M41" s="312"/>
      <c r="N41" s="312"/>
      <c r="O41" s="312"/>
      <c r="P41" s="315"/>
      <c r="Q41" s="314"/>
      <c r="R41" s="312"/>
      <c r="S41" s="312"/>
      <c r="T41" s="312"/>
      <c r="U41" s="315"/>
      <c r="V41" s="314"/>
      <c r="W41" s="312"/>
      <c r="X41" s="312"/>
      <c r="Y41" s="312"/>
      <c r="Z41" s="315"/>
      <c r="AA41" s="314"/>
      <c r="AB41" s="312"/>
      <c r="AC41" s="312"/>
      <c r="AD41" s="312"/>
      <c r="AE41" s="315"/>
      <c r="AF41" s="314"/>
      <c r="AG41" s="312"/>
      <c r="AH41" s="312"/>
      <c r="AI41" s="312"/>
      <c r="AJ41" s="315"/>
      <c r="AK41" s="314"/>
      <c r="AL41" s="312"/>
      <c r="AM41" s="312"/>
      <c r="AN41" s="312"/>
      <c r="AO41" s="315"/>
      <c r="AP41" s="314"/>
      <c r="AQ41" s="312"/>
      <c r="AR41" s="312"/>
      <c r="AS41" s="312"/>
      <c r="AT41" s="315"/>
      <c r="AU41" s="314"/>
      <c r="AV41" s="312"/>
      <c r="AW41" s="312"/>
      <c r="AX41" s="312"/>
      <c r="AY41" s="315"/>
      <c r="AZ41" s="314"/>
      <c r="BA41" s="312"/>
      <c r="BB41" s="312"/>
      <c r="BC41" s="312"/>
      <c r="BD41" s="315"/>
      <c r="BE41" s="314"/>
      <c r="BF41" s="312"/>
      <c r="BG41" s="312"/>
      <c r="BH41" s="312"/>
      <c r="BI41" s="315"/>
      <c r="BJ41" s="314"/>
      <c r="BK41" s="312"/>
      <c r="BL41" s="312"/>
      <c r="BM41" s="312"/>
      <c r="BN41" s="315"/>
      <c r="BO41" s="314"/>
      <c r="BP41" s="312"/>
      <c r="BQ41" s="312"/>
      <c r="BR41" s="312"/>
      <c r="BS41" s="315"/>
      <c r="BT41" s="314"/>
      <c r="BU41" s="312"/>
      <c r="BV41" s="312"/>
      <c r="BW41" s="312"/>
      <c r="BX41" s="315"/>
      <c r="BY41" s="314"/>
      <c r="BZ41" s="312"/>
      <c r="CA41" s="312"/>
      <c r="CB41" s="312"/>
      <c r="CC41" s="315"/>
      <c r="CD41" s="314"/>
      <c r="CE41" s="312"/>
      <c r="CF41" s="312"/>
      <c r="CG41" s="312"/>
      <c r="CH41" s="315"/>
      <c r="CI41" s="314"/>
      <c r="CJ41" s="312"/>
      <c r="CK41" s="312"/>
      <c r="CL41" s="312"/>
      <c r="CM41" s="315"/>
      <c r="CN41" s="314"/>
      <c r="CO41" s="312"/>
      <c r="CP41" s="312"/>
      <c r="CQ41" s="312"/>
      <c r="CR41" s="315"/>
      <c r="CS41" s="314"/>
      <c r="CT41" s="312"/>
      <c r="CU41" s="312"/>
      <c r="CV41" s="312"/>
      <c r="CW41" s="315"/>
      <c r="CX41" s="314"/>
      <c r="CY41" s="312"/>
      <c r="CZ41" s="312"/>
      <c r="DA41" s="312"/>
      <c r="DB41" s="315"/>
      <c r="DC41" s="314"/>
      <c r="DD41" s="312"/>
      <c r="DE41" s="312"/>
      <c r="DF41" s="312"/>
      <c r="DG41" s="313"/>
      <c r="DH41" s="314"/>
      <c r="DI41" s="312"/>
      <c r="DJ41" s="312"/>
      <c r="DK41" s="312"/>
      <c r="DL41" s="313"/>
      <c r="DM41" s="305">
        <f>COUNTIF($G$41:$DL$41,"/")</f>
        <v>0</v>
      </c>
      <c r="DN41" s="305">
        <f>COUNTIF($G$41:$DL$41,"ป")</f>
        <v>0</v>
      </c>
      <c r="DO41" s="305">
        <f>COUNTIF($G$41:$DL$41,"ล")</f>
        <v>0</v>
      </c>
      <c r="DP41" s="305">
        <f>COUNTIF($G$41:$DL$41,"ข")</f>
        <v>0</v>
      </c>
      <c r="DQ41" s="304" t="e">
        <f t="shared" si="1"/>
        <v>#DIV/0!</v>
      </c>
      <c r="DR41" s="355">
        <f t="shared" si="0"/>
        <v>0</v>
      </c>
      <c r="DW41" s="175">
        <v>41</v>
      </c>
    </row>
    <row r="42" spans="1:127" ht="18" customHeight="1" x14ac:dyDescent="0.3">
      <c r="A42" s="309">
        <f>ปพ.5!$A$42</f>
        <v>37</v>
      </c>
      <c r="B42" s="322">
        <f>ปพ.5!$B$42</f>
        <v>0</v>
      </c>
      <c r="C42" s="352">
        <f>ปพ.5!$C$42</f>
        <v>0</v>
      </c>
      <c r="D42" s="582">
        <f>ปพ.5!$D$42</f>
        <v>0</v>
      </c>
      <c r="E42" s="583"/>
      <c r="F42" s="584"/>
      <c r="G42" s="311"/>
      <c r="H42" s="312"/>
      <c r="I42" s="312"/>
      <c r="J42" s="312"/>
      <c r="K42" s="313"/>
      <c r="L42" s="314"/>
      <c r="M42" s="312"/>
      <c r="N42" s="312"/>
      <c r="O42" s="312"/>
      <c r="P42" s="315"/>
      <c r="Q42" s="314"/>
      <c r="R42" s="312"/>
      <c r="S42" s="312"/>
      <c r="T42" s="312"/>
      <c r="U42" s="315"/>
      <c r="V42" s="314"/>
      <c r="W42" s="312"/>
      <c r="X42" s="312"/>
      <c r="Y42" s="312"/>
      <c r="Z42" s="315"/>
      <c r="AA42" s="314"/>
      <c r="AB42" s="312"/>
      <c r="AC42" s="312"/>
      <c r="AD42" s="312"/>
      <c r="AE42" s="315"/>
      <c r="AF42" s="314"/>
      <c r="AG42" s="312"/>
      <c r="AH42" s="312"/>
      <c r="AI42" s="312"/>
      <c r="AJ42" s="315"/>
      <c r="AK42" s="314"/>
      <c r="AL42" s="312"/>
      <c r="AM42" s="312"/>
      <c r="AN42" s="312"/>
      <c r="AO42" s="315"/>
      <c r="AP42" s="314"/>
      <c r="AQ42" s="312"/>
      <c r="AR42" s="312"/>
      <c r="AS42" s="312"/>
      <c r="AT42" s="315"/>
      <c r="AU42" s="314"/>
      <c r="AV42" s="312"/>
      <c r="AW42" s="312"/>
      <c r="AX42" s="312"/>
      <c r="AY42" s="315"/>
      <c r="AZ42" s="314"/>
      <c r="BA42" s="312"/>
      <c r="BB42" s="312"/>
      <c r="BC42" s="312"/>
      <c r="BD42" s="315"/>
      <c r="BE42" s="314"/>
      <c r="BF42" s="312"/>
      <c r="BG42" s="312"/>
      <c r="BH42" s="312"/>
      <c r="BI42" s="315"/>
      <c r="BJ42" s="314"/>
      <c r="BK42" s="312"/>
      <c r="BL42" s="312"/>
      <c r="BM42" s="312"/>
      <c r="BN42" s="315"/>
      <c r="BO42" s="314"/>
      <c r="BP42" s="312"/>
      <c r="BQ42" s="312"/>
      <c r="BR42" s="312"/>
      <c r="BS42" s="315"/>
      <c r="BT42" s="314"/>
      <c r="BU42" s="312"/>
      <c r="BV42" s="312"/>
      <c r="BW42" s="312"/>
      <c r="BX42" s="315"/>
      <c r="BY42" s="314"/>
      <c r="BZ42" s="312"/>
      <c r="CA42" s="312"/>
      <c r="CB42" s="312"/>
      <c r="CC42" s="315"/>
      <c r="CD42" s="314"/>
      <c r="CE42" s="312"/>
      <c r="CF42" s="312"/>
      <c r="CG42" s="312"/>
      <c r="CH42" s="315"/>
      <c r="CI42" s="314"/>
      <c r="CJ42" s="312"/>
      <c r="CK42" s="312"/>
      <c r="CL42" s="312"/>
      <c r="CM42" s="315"/>
      <c r="CN42" s="314"/>
      <c r="CO42" s="312"/>
      <c r="CP42" s="312"/>
      <c r="CQ42" s="312"/>
      <c r="CR42" s="315"/>
      <c r="CS42" s="314"/>
      <c r="CT42" s="312"/>
      <c r="CU42" s="312"/>
      <c r="CV42" s="312"/>
      <c r="CW42" s="315"/>
      <c r="CX42" s="314"/>
      <c r="CY42" s="312"/>
      <c r="CZ42" s="312"/>
      <c r="DA42" s="312"/>
      <c r="DB42" s="315"/>
      <c r="DC42" s="314"/>
      <c r="DD42" s="312"/>
      <c r="DE42" s="312"/>
      <c r="DF42" s="312"/>
      <c r="DG42" s="313"/>
      <c r="DH42" s="314"/>
      <c r="DI42" s="312"/>
      <c r="DJ42" s="312"/>
      <c r="DK42" s="312"/>
      <c r="DL42" s="313"/>
      <c r="DM42" s="305">
        <f>COUNTIF($G$42:$DL$42,"/")</f>
        <v>0</v>
      </c>
      <c r="DN42" s="305">
        <f>COUNTIF($G$42:$DL$42,"ป")</f>
        <v>0</v>
      </c>
      <c r="DO42" s="305">
        <f>COUNTIF($G$42:$DL$42,"ล")</f>
        <v>0</v>
      </c>
      <c r="DP42" s="305">
        <f>COUNTIF($G$42:$DL$42,"ข")</f>
        <v>0</v>
      </c>
      <c r="DQ42" s="304" t="e">
        <f t="shared" si="1"/>
        <v>#DIV/0!</v>
      </c>
      <c r="DR42" s="355">
        <f t="shared" si="0"/>
        <v>0</v>
      </c>
      <c r="DW42" s="175">
        <v>42</v>
      </c>
    </row>
    <row r="43" spans="1:127" ht="18" customHeight="1" x14ac:dyDescent="0.3">
      <c r="A43" s="309">
        <f>ปพ.5!$A$43</f>
        <v>38</v>
      </c>
      <c r="B43" s="322">
        <f>ปพ.5!$B$43</f>
        <v>0</v>
      </c>
      <c r="C43" s="352">
        <f>ปพ.5!$C$43</f>
        <v>0</v>
      </c>
      <c r="D43" s="582">
        <f>ปพ.5!$D$43</f>
        <v>0</v>
      </c>
      <c r="E43" s="583"/>
      <c r="F43" s="584"/>
      <c r="G43" s="311"/>
      <c r="H43" s="312"/>
      <c r="I43" s="312"/>
      <c r="J43" s="312"/>
      <c r="K43" s="313"/>
      <c r="L43" s="314"/>
      <c r="M43" s="312"/>
      <c r="N43" s="312"/>
      <c r="O43" s="312"/>
      <c r="P43" s="315"/>
      <c r="Q43" s="314"/>
      <c r="R43" s="312"/>
      <c r="S43" s="312"/>
      <c r="T43" s="312"/>
      <c r="U43" s="315"/>
      <c r="V43" s="314"/>
      <c r="W43" s="312"/>
      <c r="X43" s="312"/>
      <c r="Y43" s="312"/>
      <c r="Z43" s="315"/>
      <c r="AA43" s="314"/>
      <c r="AB43" s="312"/>
      <c r="AC43" s="312"/>
      <c r="AD43" s="312"/>
      <c r="AE43" s="315"/>
      <c r="AF43" s="314"/>
      <c r="AG43" s="312"/>
      <c r="AH43" s="312"/>
      <c r="AI43" s="312"/>
      <c r="AJ43" s="315"/>
      <c r="AK43" s="314"/>
      <c r="AL43" s="312"/>
      <c r="AM43" s="312"/>
      <c r="AN43" s="312"/>
      <c r="AO43" s="315"/>
      <c r="AP43" s="314"/>
      <c r="AQ43" s="312"/>
      <c r="AR43" s="312"/>
      <c r="AS43" s="312"/>
      <c r="AT43" s="315"/>
      <c r="AU43" s="314"/>
      <c r="AV43" s="312"/>
      <c r="AW43" s="312"/>
      <c r="AX43" s="312"/>
      <c r="AY43" s="315"/>
      <c r="AZ43" s="314"/>
      <c r="BA43" s="312"/>
      <c r="BB43" s="312"/>
      <c r="BC43" s="312"/>
      <c r="BD43" s="315"/>
      <c r="BE43" s="314"/>
      <c r="BF43" s="312"/>
      <c r="BG43" s="312"/>
      <c r="BH43" s="312"/>
      <c r="BI43" s="315"/>
      <c r="BJ43" s="314"/>
      <c r="BK43" s="312"/>
      <c r="BL43" s="312"/>
      <c r="BM43" s="312"/>
      <c r="BN43" s="315"/>
      <c r="BO43" s="314"/>
      <c r="BP43" s="312"/>
      <c r="BQ43" s="312"/>
      <c r="BR43" s="312"/>
      <c r="BS43" s="315"/>
      <c r="BT43" s="314"/>
      <c r="BU43" s="312"/>
      <c r="BV43" s="312"/>
      <c r="BW43" s="312"/>
      <c r="BX43" s="315"/>
      <c r="BY43" s="314"/>
      <c r="BZ43" s="312"/>
      <c r="CA43" s="312"/>
      <c r="CB43" s="312"/>
      <c r="CC43" s="315"/>
      <c r="CD43" s="314"/>
      <c r="CE43" s="312"/>
      <c r="CF43" s="312"/>
      <c r="CG43" s="312"/>
      <c r="CH43" s="315"/>
      <c r="CI43" s="314"/>
      <c r="CJ43" s="312"/>
      <c r="CK43" s="312"/>
      <c r="CL43" s="312"/>
      <c r="CM43" s="315"/>
      <c r="CN43" s="314"/>
      <c r="CO43" s="312"/>
      <c r="CP43" s="312"/>
      <c r="CQ43" s="312"/>
      <c r="CR43" s="315"/>
      <c r="CS43" s="314"/>
      <c r="CT43" s="312"/>
      <c r="CU43" s="312"/>
      <c r="CV43" s="312"/>
      <c r="CW43" s="315"/>
      <c r="CX43" s="314"/>
      <c r="CY43" s="312"/>
      <c r="CZ43" s="312"/>
      <c r="DA43" s="312"/>
      <c r="DB43" s="315"/>
      <c r="DC43" s="314"/>
      <c r="DD43" s="312"/>
      <c r="DE43" s="312"/>
      <c r="DF43" s="312"/>
      <c r="DG43" s="313"/>
      <c r="DH43" s="314"/>
      <c r="DI43" s="312"/>
      <c r="DJ43" s="312"/>
      <c r="DK43" s="312"/>
      <c r="DL43" s="313"/>
      <c r="DM43" s="305">
        <f>COUNTIF($G$43:$DL$43,"/")</f>
        <v>0</v>
      </c>
      <c r="DN43" s="305">
        <f>COUNTIF($G$43:$DL$43,"ป")</f>
        <v>0</v>
      </c>
      <c r="DO43" s="305">
        <f>COUNTIF($G$43:$DL$43,"ล")</f>
        <v>0</v>
      </c>
      <c r="DP43" s="305">
        <f>COUNTIF($G$43:$DL$43,"ข")</f>
        <v>0</v>
      </c>
      <c r="DQ43" s="304" t="e">
        <f t="shared" si="1"/>
        <v>#DIV/0!</v>
      </c>
      <c r="DR43" s="355">
        <f t="shared" si="0"/>
        <v>0</v>
      </c>
      <c r="DW43" s="175">
        <v>43</v>
      </c>
    </row>
    <row r="44" spans="1:127" ht="18" customHeight="1" x14ac:dyDescent="0.3">
      <c r="A44" s="309">
        <f>ปพ.5!$A$44</f>
        <v>39</v>
      </c>
      <c r="B44" s="322">
        <f>ปพ.5!$B$44</f>
        <v>0</v>
      </c>
      <c r="C44" s="352">
        <f>ปพ.5!$C$44</f>
        <v>0</v>
      </c>
      <c r="D44" s="582">
        <f>ปพ.5!$D$44</f>
        <v>0</v>
      </c>
      <c r="E44" s="583"/>
      <c r="F44" s="584"/>
      <c r="G44" s="311"/>
      <c r="H44" s="312"/>
      <c r="I44" s="312"/>
      <c r="J44" s="312"/>
      <c r="K44" s="313"/>
      <c r="L44" s="314"/>
      <c r="M44" s="312"/>
      <c r="N44" s="312"/>
      <c r="O44" s="312"/>
      <c r="P44" s="315"/>
      <c r="Q44" s="314"/>
      <c r="R44" s="312"/>
      <c r="S44" s="312"/>
      <c r="T44" s="312"/>
      <c r="U44" s="315"/>
      <c r="V44" s="314"/>
      <c r="W44" s="312"/>
      <c r="X44" s="312"/>
      <c r="Y44" s="312"/>
      <c r="Z44" s="315"/>
      <c r="AA44" s="314"/>
      <c r="AB44" s="312"/>
      <c r="AC44" s="312"/>
      <c r="AD44" s="312"/>
      <c r="AE44" s="315"/>
      <c r="AF44" s="314"/>
      <c r="AG44" s="312"/>
      <c r="AH44" s="312"/>
      <c r="AI44" s="312"/>
      <c r="AJ44" s="315"/>
      <c r="AK44" s="314"/>
      <c r="AL44" s="312"/>
      <c r="AM44" s="312"/>
      <c r="AN44" s="312"/>
      <c r="AO44" s="315"/>
      <c r="AP44" s="314"/>
      <c r="AQ44" s="312"/>
      <c r="AR44" s="312"/>
      <c r="AS44" s="312"/>
      <c r="AT44" s="315"/>
      <c r="AU44" s="314"/>
      <c r="AV44" s="312"/>
      <c r="AW44" s="312"/>
      <c r="AX44" s="312"/>
      <c r="AY44" s="315"/>
      <c r="AZ44" s="314"/>
      <c r="BA44" s="312"/>
      <c r="BB44" s="312"/>
      <c r="BC44" s="312"/>
      <c r="BD44" s="315"/>
      <c r="BE44" s="314"/>
      <c r="BF44" s="312"/>
      <c r="BG44" s="312"/>
      <c r="BH44" s="312"/>
      <c r="BI44" s="315"/>
      <c r="BJ44" s="314"/>
      <c r="BK44" s="312"/>
      <c r="BL44" s="312"/>
      <c r="BM44" s="312"/>
      <c r="BN44" s="315"/>
      <c r="BO44" s="314"/>
      <c r="BP44" s="312"/>
      <c r="BQ44" s="312"/>
      <c r="BR44" s="312"/>
      <c r="BS44" s="315"/>
      <c r="BT44" s="314"/>
      <c r="BU44" s="312"/>
      <c r="BV44" s="312"/>
      <c r="BW44" s="312"/>
      <c r="BX44" s="315"/>
      <c r="BY44" s="314"/>
      <c r="BZ44" s="312"/>
      <c r="CA44" s="312"/>
      <c r="CB44" s="312"/>
      <c r="CC44" s="315"/>
      <c r="CD44" s="314"/>
      <c r="CE44" s="312"/>
      <c r="CF44" s="312"/>
      <c r="CG44" s="312"/>
      <c r="CH44" s="315"/>
      <c r="CI44" s="314"/>
      <c r="CJ44" s="312"/>
      <c r="CK44" s="312"/>
      <c r="CL44" s="312"/>
      <c r="CM44" s="315"/>
      <c r="CN44" s="314"/>
      <c r="CO44" s="312"/>
      <c r="CP44" s="312"/>
      <c r="CQ44" s="312"/>
      <c r="CR44" s="315"/>
      <c r="CS44" s="314"/>
      <c r="CT44" s="312"/>
      <c r="CU44" s="312"/>
      <c r="CV44" s="312"/>
      <c r="CW44" s="315"/>
      <c r="CX44" s="314"/>
      <c r="CY44" s="312"/>
      <c r="CZ44" s="312"/>
      <c r="DA44" s="312"/>
      <c r="DB44" s="315"/>
      <c r="DC44" s="314"/>
      <c r="DD44" s="312"/>
      <c r="DE44" s="312"/>
      <c r="DF44" s="312"/>
      <c r="DG44" s="313"/>
      <c r="DH44" s="314"/>
      <c r="DI44" s="312"/>
      <c r="DJ44" s="312"/>
      <c r="DK44" s="312"/>
      <c r="DL44" s="313"/>
      <c r="DM44" s="305">
        <f>COUNTIF($G$44:$DL$44,"/")</f>
        <v>0</v>
      </c>
      <c r="DN44" s="305">
        <f>COUNTIF($G$44:$DL$44,"ป")</f>
        <v>0</v>
      </c>
      <c r="DO44" s="305">
        <f>COUNTIF($G$44:$DL$44,"ล")</f>
        <v>0</v>
      </c>
      <c r="DP44" s="305">
        <f>COUNTIF($G$44:$DL$44,"ข")</f>
        <v>0</v>
      </c>
      <c r="DQ44" s="304" t="e">
        <f t="shared" si="1"/>
        <v>#DIV/0!</v>
      </c>
      <c r="DR44" s="355">
        <f t="shared" si="0"/>
        <v>0</v>
      </c>
      <c r="DW44" s="175">
        <v>44</v>
      </c>
    </row>
    <row r="45" spans="1:127" ht="18" customHeight="1" x14ac:dyDescent="0.3">
      <c r="A45" s="309">
        <f>ปพ.5!$A$45</f>
        <v>40</v>
      </c>
      <c r="B45" s="322">
        <f>ปพ.5!$B$45</f>
        <v>0</v>
      </c>
      <c r="C45" s="352">
        <f>ปพ.5!$C$45</f>
        <v>0</v>
      </c>
      <c r="D45" s="582">
        <f>ปพ.5!$D$45</f>
        <v>0</v>
      </c>
      <c r="E45" s="583"/>
      <c r="F45" s="584"/>
      <c r="G45" s="311"/>
      <c r="H45" s="312"/>
      <c r="I45" s="312"/>
      <c r="J45" s="312"/>
      <c r="K45" s="313"/>
      <c r="L45" s="314"/>
      <c r="M45" s="312"/>
      <c r="N45" s="312"/>
      <c r="O45" s="312"/>
      <c r="P45" s="315"/>
      <c r="Q45" s="314"/>
      <c r="R45" s="312"/>
      <c r="S45" s="312"/>
      <c r="T45" s="312"/>
      <c r="U45" s="315"/>
      <c r="V45" s="314"/>
      <c r="W45" s="312"/>
      <c r="X45" s="312"/>
      <c r="Y45" s="312"/>
      <c r="Z45" s="315"/>
      <c r="AA45" s="314"/>
      <c r="AB45" s="312"/>
      <c r="AC45" s="312"/>
      <c r="AD45" s="312"/>
      <c r="AE45" s="315"/>
      <c r="AF45" s="314"/>
      <c r="AG45" s="312"/>
      <c r="AH45" s="312"/>
      <c r="AI45" s="312"/>
      <c r="AJ45" s="315"/>
      <c r="AK45" s="314"/>
      <c r="AL45" s="312"/>
      <c r="AM45" s="312"/>
      <c r="AN45" s="312"/>
      <c r="AO45" s="315"/>
      <c r="AP45" s="314"/>
      <c r="AQ45" s="312"/>
      <c r="AR45" s="312"/>
      <c r="AS45" s="312"/>
      <c r="AT45" s="315"/>
      <c r="AU45" s="314"/>
      <c r="AV45" s="312"/>
      <c r="AW45" s="312"/>
      <c r="AX45" s="312"/>
      <c r="AY45" s="315"/>
      <c r="AZ45" s="314"/>
      <c r="BA45" s="312"/>
      <c r="BB45" s="312"/>
      <c r="BC45" s="312"/>
      <c r="BD45" s="315"/>
      <c r="BE45" s="314"/>
      <c r="BF45" s="312"/>
      <c r="BG45" s="312"/>
      <c r="BH45" s="312"/>
      <c r="BI45" s="315"/>
      <c r="BJ45" s="314"/>
      <c r="BK45" s="312"/>
      <c r="BL45" s="312"/>
      <c r="BM45" s="312"/>
      <c r="BN45" s="315"/>
      <c r="BO45" s="314"/>
      <c r="BP45" s="312"/>
      <c r="BQ45" s="312"/>
      <c r="BR45" s="312"/>
      <c r="BS45" s="315"/>
      <c r="BT45" s="314"/>
      <c r="BU45" s="312"/>
      <c r="BV45" s="312"/>
      <c r="BW45" s="312"/>
      <c r="BX45" s="315"/>
      <c r="BY45" s="314"/>
      <c r="BZ45" s="312"/>
      <c r="CA45" s="312"/>
      <c r="CB45" s="312"/>
      <c r="CC45" s="315"/>
      <c r="CD45" s="314"/>
      <c r="CE45" s="312"/>
      <c r="CF45" s="312"/>
      <c r="CG45" s="312"/>
      <c r="CH45" s="315"/>
      <c r="CI45" s="314"/>
      <c r="CJ45" s="312"/>
      <c r="CK45" s="312"/>
      <c r="CL45" s="312"/>
      <c r="CM45" s="315"/>
      <c r="CN45" s="314"/>
      <c r="CO45" s="312"/>
      <c r="CP45" s="312"/>
      <c r="CQ45" s="312"/>
      <c r="CR45" s="315"/>
      <c r="CS45" s="314"/>
      <c r="CT45" s="312"/>
      <c r="CU45" s="312"/>
      <c r="CV45" s="312"/>
      <c r="CW45" s="315"/>
      <c r="CX45" s="314"/>
      <c r="CY45" s="312"/>
      <c r="CZ45" s="312"/>
      <c r="DA45" s="312"/>
      <c r="DB45" s="315"/>
      <c r="DC45" s="314"/>
      <c r="DD45" s="312"/>
      <c r="DE45" s="312"/>
      <c r="DF45" s="312"/>
      <c r="DG45" s="313"/>
      <c r="DH45" s="314"/>
      <c r="DI45" s="312"/>
      <c r="DJ45" s="312"/>
      <c r="DK45" s="312"/>
      <c r="DL45" s="313"/>
      <c r="DM45" s="305">
        <f>COUNTIF($G$45:$DL$45,"/")</f>
        <v>0</v>
      </c>
      <c r="DN45" s="305">
        <f>COUNTIF($G$45:$DL$45,"ป")</f>
        <v>0</v>
      </c>
      <c r="DO45" s="305">
        <f>COUNTIF($G$45:$DL$45,"ล")</f>
        <v>0</v>
      </c>
      <c r="DP45" s="305">
        <f>COUNTIF($G$45:$DL$45,"ข")</f>
        <v>0</v>
      </c>
      <c r="DQ45" s="304" t="e">
        <f t="shared" si="1"/>
        <v>#DIV/0!</v>
      </c>
      <c r="DR45" s="355">
        <f t="shared" si="0"/>
        <v>0</v>
      </c>
      <c r="DW45" s="175">
        <v>45</v>
      </c>
    </row>
    <row r="46" spans="1:127" ht="18" customHeight="1" x14ac:dyDescent="0.3">
      <c r="A46" s="309">
        <f>ปพ.5!$A$46</f>
        <v>41</v>
      </c>
      <c r="B46" s="322">
        <f>ปพ.5!$B$46</f>
        <v>0</v>
      </c>
      <c r="C46" s="352">
        <f>ปพ.5!$C$46</f>
        <v>0</v>
      </c>
      <c r="D46" s="582">
        <f>ปพ.5!$D$46</f>
        <v>0</v>
      </c>
      <c r="E46" s="583"/>
      <c r="F46" s="584"/>
      <c r="G46" s="311"/>
      <c r="H46" s="312"/>
      <c r="I46" s="312"/>
      <c r="J46" s="312"/>
      <c r="K46" s="313"/>
      <c r="L46" s="314"/>
      <c r="M46" s="312"/>
      <c r="N46" s="312"/>
      <c r="O46" s="312"/>
      <c r="P46" s="315"/>
      <c r="Q46" s="314"/>
      <c r="R46" s="312"/>
      <c r="S46" s="312"/>
      <c r="T46" s="312"/>
      <c r="U46" s="315"/>
      <c r="V46" s="314"/>
      <c r="W46" s="312"/>
      <c r="X46" s="312"/>
      <c r="Y46" s="312"/>
      <c r="Z46" s="315"/>
      <c r="AA46" s="314"/>
      <c r="AB46" s="312"/>
      <c r="AC46" s="312"/>
      <c r="AD46" s="312"/>
      <c r="AE46" s="315"/>
      <c r="AF46" s="314"/>
      <c r="AG46" s="312"/>
      <c r="AH46" s="312"/>
      <c r="AI46" s="312"/>
      <c r="AJ46" s="315"/>
      <c r="AK46" s="314"/>
      <c r="AL46" s="312"/>
      <c r="AM46" s="312"/>
      <c r="AN46" s="312"/>
      <c r="AO46" s="315"/>
      <c r="AP46" s="314"/>
      <c r="AQ46" s="312"/>
      <c r="AR46" s="312"/>
      <c r="AS46" s="312"/>
      <c r="AT46" s="315"/>
      <c r="AU46" s="314"/>
      <c r="AV46" s="312"/>
      <c r="AW46" s="312"/>
      <c r="AX46" s="312"/>
      <c r="AY46" s="315"/>
      <c r="AZ46" s="314"/>
      <c r="BA46" s="312"/>
      <c r="BB46" s="312"/>
      <c r="BC46" s="312"/>
      <c r="BD46" s="315"/>
      <c r="BE46" s="314"/>
      <c r="BF46" s="312"/>
      <c r="BG46" s="312"/>
      <c r="BH46" s="312"/>
      <c r="BI46" s="315"/>
      <c r="BJ46" s="314"/>
      <c r="BK46" s="312"/>
      <c r="BL46" s="312"/>
      <c r="BM46" s="312"/>
      <c r="BN46" s="315"/>
      <c r="BO46" s="314"/>
      <c r="BP46" s="312"/>
      <c r="BQ46" s="312"/>
      <c r="BR46" s="312"/>
      <c r="BS46" s="315"/>
      <c r="BT46" s="314"/>
      <c r="BU46" s="312"/>
      <c r="BV46" s="312"/>
      <c r="BW46" s="312"/>
      <c r="BX46" s="315"/>
      <c r="BY46" s="314"/>
      <c r="BZ46" s="312"/>
      <c r="CA46" s="312"/>
      <c r="CB46" s="312"/>
      <c r="CC46" s="315"/>
      <c r="CD46" s="314"/>
      <c r="CE46" s="312"/>
      <c r="CF46" s="312"/>
      <c r="CG46" s="312"/>
      <c r="CH46" s="315"/>
      <c r="CI46" s="314"/>
      <c r="CJ46" s="312"/>
      <c r="CK46" s="312"/>
      <c r="CL46" s="312"/>
      <c r="CM46" s="315"/>
      <c r="CN46" s="314"/>
      <c r="CO46" s="312"/>
      <c r="CP46" s="312"/>
      <c r="CQ46" s="312"/>
      <c r="CR46" s="315"/>
      <c r="CS46" s="314"/>
      <c r="CT46" s="312"/>
      <c r="CU46" s="312"/>
      <c r="CV46" s="312"/>
      <c r="CW46" s="315"/>
      <c r="CX46" s="314"/>
      <c r="CY46" s="312"/>
      <c r="CZ46" s="312"/>
      <c r="DA46" s="312"/>
      <c r="DB46" s="315"/>
      <c r="DC46" s="314"/>
      <c r="DD46" s="312"/>
      <c r="DE46" s="312"/>
      <c r="DF46" s="312"/>
      <c r="DG46" s="313"/>
      <c r="DH46" s="314"/>
      <c r="DI46" s="312"/>
      <c r="DJ46" s="312"/>
      <c r="DK46" s="312"/>
      <c r="DL46" s="313"/>
      <c r="DM46" s="305">
        <f>COUNTIF($G$46:$DL$46,"/")</f>
        <v>0</v>
      </c>
      <c r="DN46" s="305">
        <f>COUNTIF($G$46:$DL$46,"ป")</f>
        <v>0</v>
      </c>
      <c r="DO46" s="305">
        <f>COUNTIF($G$46:$DL$46,"ล")</f>
        <v>0</v>
      </c>
      <c r="DP46" s="305">
        <f>COUNTIF($G$46:$DL$46,"ข")</f>
        <v>0</v>
      </c>
      <c r="DQ46" s="304" t="e">
        <f t="shared" si="1"/>
        <v>#DIV/0!</v>
      </c>
      <c r="DR46" s="355">
        <f t="shared" si="0"/>
        <v>0</v>
      </c>
      <c r="DW46" s="175">
        <v>46</v>
      </c>
    </row>
    <row r="47" spans="1:127" ht="18" customHeight="1" x14ac:dyDescent="0.3">
      <c r="A47" s="309">
        <f>ปพ.5!$A$47</f>
        <v>42</v>
      </c>
      <c r="B47" s="322">
        <f>ปพ.5!$B$47</f>
        <v>0</v>
      </c>
      <c r="C47" s="352">
        <f>ปพ.5!$C$47</f>
        <v>0</v>
      </c>
      <c r="D47" s="582">
        <f>ปพ.5!$D$47</f>
        <v>0</v>
      </c>
      <c r="E47" s="583"/>
      <c r="F47" s="584"/>
      <c r="G47" s="311"/>
      <c r="H47" s="312"/>
      <c r="I47" s="312"/>
      <c r="J47" s="312"/>
      <c r="K47" s="313"/>
      <c r="L47" s="314"/>
      <c r="M47" s="312"/>
      <c r="N47" s="312"/>
      <c r="O47" s="312"/>
      <c r="P47" s="315"/>
      <c r="Q47" s="314"/>
      <c r="R47" s="312"/>
      <c r="S47" s="312"/>
      <c r="T47" s="312"/>
      <c r="U47" s="315"/>
      <c r="V47" s="314"/>
      <c r="W47" s="312"/>
      <c r="X47" s="312"/>
      <c r="Y47" s="312"/>
      <c r="Z47" s="315"/>
      <c r="AA47" s="314"/>
      <c r="AB47" s="312"/>
      <c r="AC47" s="312"/>
      <c r="AD47" s="312"/>
      <c r="AE47" s="315"/>
      <c r="AF47" s="314"/>
      <c r="AG47" s="312"/>
      <c r="AH47" s="312"/>
      <c r="AI47" s="312"/>
      <c r="AJ47" s="315"/>
      <c r="AK47" s="314"/>
      <c r="AL47" s="312"/>
      <c r="AM47" s="312"/>
      <c r="AN47" s="312"/>
      <c r="AO47" s="315"/>
      <c r="AP47" s="314"/>
      <c r="AQ47" s="312"/>
      <c r="AR47" s="312"/>
      <c r="AS47" s="312"/>
      <c r="AT47" s="315"/>
      <c r="AU47" s="314"/>
      <c r="AV47" s="312"/>
      <c r="AW47" s="312"/>
      <c r="AX47" s="312"/>
      <c r="AY47" s="315"/>
      <c r="AZ47" s="314"/>
      <c r="BA47" s="312"/>
      <c r="BB47" s="312"/>
      <c r="BC47" s="312"/>
      <c r="BD47" s="315"/>
      <c r="BE47" s="314"/>
      <c r="BF47" s="312"/>
      <c r="BG47" s="312"/>
      <c r="BH47" s="312"/>
      <c r="BI47" s="315"/>
      <c r="BJ47" s="314"/>
      <c r="BK47" s="312"/>
      <c r="BL47" s="312"/>
      <c r="BM47" s="312"/>
      <c r="BN47" s="315"/>
      <c r="BO47" s="314"/>
      <c r="BP47" s="312"/>
      <c r="BQ47" s="312"/>
      <c r="BR47" s="312"/>
      <c r="BS47" s="315"/>
      <c r="BT47" s="314"/>
      <c r="BU47" s="312"/>
      <c r="BV47" s="312"/>
      <c r="BW47" s="312"/>
      <c r="BX47" s="315"/>
      <c r="BY47" s="314"/>
      <c r="BZ47" s="312"/>
      <c r="CA47" s="312"/>
      <c r="CB47" s="312"/>
      <c r="CC47" s="315"/>
      <c r="CD47" s="314"/>
      <c r="CE47" s="312"/>
      <c r="CF47" s="312"/>
      <c r="CG47" s="312"/>
      <c r="CH47" s="315"/>
      <c r="CI47" s="314"/>
      <c r="CJ47" s="312"/>
      <c r="CK47" s="312"/>
      <c r="CL47" s="312"/>
      <c r="CM47" s="315"/>
      <c r="CN47" s="314"/>
      <c r="CO47" s="312"/>
      <c r="CP47" s="312"/>
      <c r="CQ47" s="312"/>
      <c r="CR47" s="315"/>
      <c r="CS47" s="314"/>
      <c r="CT47" s="312"/>
      <c r="CU47" s="312"/>
      <c r="CV47" s="312"/>
      <c r="CW47" s="315"/>
      <c r="CX47" s="314"/>
      <c r="CY47" s="312"/>
      <c r="CZ47" s="312"/>
      <c r="DA47" s="312"/>
      <c r="DB47" s="315"/>
      <c r="DC47" s="314"/>
      <c r="DD47" s="312"/>
      <c r="DE47" s="312"/>
      <c r="DF47" s="312"/>
      <c r="DG47" s="313"/>
      <c r="DH47" s="314"/>
      <c r="DI47" s="312"/>
      <c r="DJ47" s="312"/>
      <c r="DK47" s="312"/>
      <c r="DL47" s="313"/>
      <c r="DM47" s="305">
        <f>COUNTIF($G$47:$DL$47,"/")</f>
        <v>0</v>
      </c>
      <c r="DN47" s="305">
        <f>COUNTIF($G$47:$DL$47,"ป")</f>
        <v>0</v>
      </c>
      <c r="DO47" s="305">
        <f>COUNTIF($G$47:$DL$47,"ล")</f>
        <v>0</v>
      </c>
      <c r="DP47" s="305">
        <f>COUNTIF($G$47:$DL$47,"ข")</f>
        <v>0</v>
      </c>
      <c r="DQ47" s="304" t="e">
        <f t="shared" si="1"/>
        <v>#DIV/0!</v>
      </c>
      <c r="DR47" s="355">
        <f t="shared" si="0"/>
        <v>0</v>
      </c>
      <c r="DW47" s="175">
        <v>47</v>
      </c>
    </row>
    <row r="48" spans="1:127" ht="18" customHeight="1" x14ac:dyDescent="0.3">
      <c r="A48" s="309">
        <f>ปพ.5!$A$48</f>
        <v>43</v>
      </c>
      <c r="B48" s="322">
        <f>ปพ.5!$B$48</f>
        <v>0</v>
      </c>
      <c r="C48" s="352">
        <f>ปพ.5!$C$48</f>
        <v>0</v>
      </c>
      <c r="D48" s="582">
        <f>ปพ.5!$D$48</f>
        <v>0</v>
      </c>
      <c r="E48" s="583"/>
      <c r="F48" s="584"/>
      <c r="G48" s="311"/>
      <c r="H48" s="312"/>
      <c r="I48" s="312"/>
      <c r="J48" s="312"/>
      <c r="K48" s="313"/>
      <c r="L48" s="314"/>
      <c r="M48" s="312"/>
      <c r="N48" s="312"/>
      <c r="O48" s="312"/>
      <c r="P48" s="315"/>
      <c r="Q48" s="314"/>
      <c r="R48" s="312"/>
      <c r="S48" s="312"/>
      <c r="T48" s="312"/>
      <c r="U48" s="315"/>
      <c r="V48" s="314"/>
      <c r="W48" s="312"/>
      <c r="X48" s="312"/>
      <c r="Y48" s="312"/>
      <c r="Z48" s="315"/>
      <c r="AA48" s="314"/>
      <c r="AB48" s="312"/>
      <c r="AC48" s="312"/>
      <c r="AD48" s="312"/>
      <c r="AE48" s="315"/>
      <c r="AF48" s="314"/>
      <c r="AG48" s="312"/>
      <c r="AH48" s="312"/>
      <c r="AI48" s="312"/>
      <c r="AJ48" s="315"/>
      <c r="AK48" s="314"/>
      <c r="AL48" s="312"/>
      <c r="AM48" s="312"/>
      <c r="AN48" s="312"/>
      <c r="AO48" s="315"/>
      <c r="AP48" s="314"/>
      <c r="AQ48" s="312"/>
      <c r="AR48" s="312"/>
      <c r="AS48" s="312"/>
      <c r="AT48" s="315"/>
      <c r="AU48" s="314"/>
      <c r="AV48" s="312"/>
      <c r="AW48" s="312"/>
      <c r="AX48" s="312"/>
      <c r="AY48" s="315"/>
      <c r="AZ48" s="314"/>
      <c r="BA48" s="312"/>
      <c r="BB48" s="312"/>
      <c r="BC48" s="312"/>
      <c r="BD48" s="315"/>
      <c r="BE48" s="314"/>
      <c r="BF48" s="312"/>
      <c r="BG48" s="312"/>
      <c r="BH48" s="312"/>
      <c r="BI48" s="315"/>
      <c r="BJ48" s="314"/>
      <c r="BK48" s="312"/>
      <c r="BL48" s="312"/>
      <c r="BM48" s="312"/>
      <c r="BN48" s="315"/>
      <c r="BO48" s="314"/>
      <c r="BP48" s="312"/>
      <c r="BQ48" s="312"/>
      <c r="BR48" s="312"/>
      <c r="BS48" s="315"/>
      <c r="BT48" s="314"/>
      <c r="BU48" s="312"/>
      <c r="BV48" s="312"/>
      <c r="BW48" s="312"/>
      <c r="BX48" s="315"/>
      <c r="BY48" s="314"/>
      <c r="BZ48" s="312"/>
      <c r="CA48" s="312"/>
      <c r="CB48" s="312"/>
      <c r="CC48" s="315"/>
      <c r="CD48" s="314"/>
      <c r="CE48" s="312"/>
      <c r="CF48" s="312"/>
      <c r="CG48" s="312"/>
      <c r="CH48" s="315"/>
      <c r="CI48" s="314"/>
      <c r="CJ48" s="312"/>
      <c r="CK48" s="312"/>
      <c r="CL48" s="312"/>
      <c r="CM48" s="315"/>
      <c r="CN48" s="314"/>
      <c r="CO48" s="312"/>
      <c r="CP48" s="312"/>
      <c r="CQ48" s="312"/>
      <c r="CR48" s="315"/>
      <c r="CS48" s="314"/>
      <c r="CT48" s="312"/>
      <c r="CU48" s="312"/>
      <c r="CV48" s="312"/>
      <c r="CW48" s="315"/>
      <c r="CX48" s="314"/>
      <c r="CY48" s="312"/>
      <c r="CZ48" s="312"/>
      <c r="DA48" s="312"/>
      <c r="DB48" s="315"/>
      <c r="DC48" s="314"/>
      <c r="DD48" s="312"/>
      <c r="DE48" s="312"/>
      <c r="DF48" s="312"/>
      <c r="DG48" s="313"/>
      <c r="DH48" s="314"/>
      <c r="DI48" s="312"/>
      <c r="DJ48" s="312"/>
      <c r="DK48" s="312"/>
      <c r="DL48" s="313"/>
      <c r="DM48" s="305">
        <f>COUNTIF($G$48:$DL$48,"/")</f>
        <v>0</v>
      </c>
      <c r="DN48" s="305">
        <f>COUNTIF($G$48:$DL$48,"ป")</f>
        <v>0</v>
      </c>
      <c r="DO48" s="305">
        <f>COUNTIF($G$48:$DL$48,"ล")</f>
        <v>0</v>
      </c>
      <c r="DP48" s="305">
        <f>COUNTIF($G$48:$DL$48,"ข")</f>
        <v>0</v>
      </c>
      <c r="DQ48" s="304" t="e">
        <f t="shared" si="1"/>
        <v>#DIV/0!</v>
      </c>
      <c r="DR48" s="355">
        <f t="shared" si="0"/>
        <v>0</v>
      </c>
      <c r="DW48" s="175">
        <v>48</v>
      </c>
    </row>
    <row r="49" spans="1:127" ht="18" customHeight="1" x14ac:dyDescent="0.3">
      <c r="A49" s="309">
        <f>ปพ.5!$A$49</f>
        <v>44</v>
      </c>
      <c r="B49" s="322">
        <f>ปพ.5!$B$49</f>
        <v>0</v>
      </c>
      <c r="C49" s="352">
        <f>ปพ.5!$C$49</f>
        <v>0</v>
      </c>
      <c r="D49" s="582">
        <f>ปพ.5!$D$49</f>
        <v>0</v>
      </c>
      <c r="E49" s="583"/>
      <c r="F49" s="584"/>
      <c r="G49" s="311"/>
      <c r="H49" s="312"/>
      <c r="I49" s="312"/>
      <c r="J49" s="312"/>
      <c r="K49" s="313"/>
      <c r="L49" s="314"/>
      <c r="M49" s="312"/>
      <c r="N49" s="312"/>
      <c r="O49" s="312"/>
      <c r="P49" s="315"/>
      <c r="Q49" s="314"/>
      <c r="R49" s="312"/>
      <c r="S49" s="312"/>
      <c r="T49" s="312"/>
      <c r="U49" s="315"/>
      <c r="V49" s="314"/>
      <c r="W49" s="312"/>
      <c r="X49" s="312"/>
      <c r="Y49" s="312"/>
      <c r="Z49" s="315"/>
      <c r="AA49" s="314"/>
      <c r="AB49" s="312"/>
      <c r="AC49" s="312"/>
      <c r="AD49" s="312"/>
      <c r="AE49" s="315"/>
      <c r="AF49" s="314"/>
      <c r="AG49" s="312"/>
      <c r="AH49" s="312"/>
      <c r="AI49" s="312"/>
      <c r="AJ49" s="315"/>
      <c r="AK49" s="314"/>
      <c r="AL49" s="312"/>
      <c r="AM49" s="312"/>
      <c r="AN49" s="312"/>
      <c r="AO49" s="315"/>
      <c r="AP49" s="314"/>
      <c r="AQ49" s="312"/>
      <c r="AR49" s="312"/>
      <c r="AS49" s="312"/>
      <c r="AT49" s="315"/>
      <c r="AU49" s="314"/>
      <c r="AV49" s="312"/>
      <c r="AW49" s="312"/>
      <c r="AX49" s="312"/>
      <c r="AY49" s="315"/>
      <c r="AZ49" s="314"/>
      <c r="BA49" s="312"/>
      <c r="BB49" s="312"/>
      <c r="BC49" s="312"/>
      <c r="BD49" s="315"/>
      <c r="BE49" s="314"/>
      <c r="BF49" s="312"/>
      <c r="BG49" s="312"/>
      <c r="BH49" s="312"/>
      <c r="BI49" s="315"/>
      <c r="BJ49" s="314"/>
      <c r="BK49" s="312"/>
      <c r="BL49" s="312"/>
      <c r="BM49" s="312"/>
      <c r="BN49" s="315"/>
      <c r="BO49" s="314"/>
      <c r="BP49" s="312"/>
      <c r="BQ49" s="312"/>
      <c r="BR49" s="312"/>
      <c r="BS49" s="315"/>
      <c r="BT49" s="314"/>
      <c r="BU49" s="312"/>
      <c r="BV49" s="312"/>
      <c r="BW49" s="312"/>
      <c r="BX49" s="315"/>
      <c r="BY49" s="314"/>
      <c r="BZ49" s="312"/>
      <c r="CA49" s="312"/>
      <c r="CB49" s="312"/>
      <c r="CC49" s="315"/>
      <c r="CD49" s="314"/>
      <c r="CE49" s="312"/>
      <c r="CF49" s="312"/>
      <c r="CG49" s="312"/>
      <c r="CH49" s="315"/>
      <c r="CI49" s="314"/>
      <c r="CJ49" s="312"/>
      <c r="CK49" s="312"/>
      <c r="CL49" s="312"/>
      <c r="CM49" s="315"/>
      <c r="CN49" s="314"/>
      <c r="CO49" s="312"/>
      <c r="CP49" s="312"/>
      <c r="CQ49" s="312"/>
      <c r="CR49" s="315"/>
      <c r="CS49" s="314"/>
      <c r="CT49" s="312"/>
      <c r="CU49" s="312"/>
      <c r="CV49" s="312"/>
      <c r="CW49" s="315"/>
      <c r="CX49" s="314"/>
      <c r="CY49" s="312"/>
      <c r="CZ49" s="312"/>
      <c r="DA49" s="312"/>
      <c r="DB49" s="315"/>
      <c r="DC49" s="314"/>
      <c r="DD49" s="312"/>
      <c r="DE49" s="312"/>
      <c r="DF49" s="312"/>
      <c r="DG49" s="313"/>
      <c r="DH49" s="314"/>
      <c r="DI49" s="312"/>
      <c r="DJ49" s="312"/>
      <c r="DK49" s="312"/>
      <c r="DL49" s="313"/>
      <c r="DM49" s="305">
        <f>COUNTIF($G$49:$DL$49,"/")</f>
        <v>0</v>
      </c>
      <c r="DN49" s="305">
        <f>COUNTIF($G$49:$DL$49,"ป")</f>
        <v>0</v>
      </c>
      <c r="DO49" s="305">
        <f>COUNTIF($G$49:$DL$49,"ล")</f>
        <v>0</v>
      </c>
      <c r="DP49" s="305">
        <f>COUNTIF($G$49:$DL$49,"ข")</f>
        <v>0</v>
      </c>
      <c r="DQ49" s="304" t="e">
        <f t="shared" si="1"/>
        <v>#DIV/0!</v>
      </c>
      <c r="DR49" s="355">
        <f t="shared" si="0"/>
        <v>0</v>
      </c>
      <c r="DW49" s="175">
        <v>49</v>
      </c>
    </row>
    <row r="50" spans="1:127" ht="18" customHeight="1" x14ac:dyDescent="0.3">
      <c r="A50" s="309">
        <f>ปพ.5!$A$50</f>
        <v>45</v>
      </c>
      <c r="B50" s="322">
        <f>ปพ.5!$B$50</f>
        <v>0</v>
      </c>
      <c r="C50" s="352">
        <f>ปพ.5!$C$50</f>
        <v>0</v>
      </c>
      <c r="D50" s="582">
        <f>ปพ.5!$D$50</f>
        <v>0</v>
      </c>
      <c r="E50" s="583"/>
      <c r="F50" s="584"/>
      <c r="G50" s="311"/>
      <c r="H50" s="312"/>
      <c r="I50" s="312"/>
      <c r="J50" s="312"/>
      <c r="K50" s="313"/>
      <c r="L50" s="314"/>
      <c r="M50" s="312"/>
      <c r="N50" s="312"/>
      <c r="O50" s="312"/>
      <c r="P50" s="315"/>
      <c r="Q50" s="314"/>
      <c r="R50" s="312"/>
      <c r="S50" s="312"/>
      <c r="T50" s="312"/>
      <c r="U50" s="315"/>
      <c r="V50" s="314"/>
      <c r="W50" s="312"/>
      <c r="X50" s="312"/>
      <c r="Y50" s="312"/>
      <c r="Z50" s="315"/>
      <c r="AA50" s="314"/>
      <c r="AB50" s="312"/>
      <c r="AC50" s="312"/>
      <c r="AD50" s="312"/>
      <c r="AE50" s="315"/>
      <c r="AF50" s="314"/>
      <c r="AG50" s="312"/>
      <c r="AH50" s="312"/>
      <c r="AI50" s="312"/>
      <c r="AJ50" s="315"/>
      <c r="AK50" s="314"/>
      <c r="AL50" s="312"/>
      <c r="AM50" s="312"/>
      <c r="AN50" s="312"/>
      <c r="AO50" s="315"/>
      <c r="AP50" s="314"/>
      <c r="AQ50" s="312"/>
      <c r="AR50" s="312"/>
      <c r="AS50" s="312"/>
      <c r="AT50" s="315"/>
      <c r="AU50" s="314"/>
      <c r="AV50" s="312"/>
      <c r="AW50" s="312"/>
      <c r="AX50" s="312"/>
      <c r="AY50" s="315"/>
      <c r="AZ50" s="314"/>
      <c r="BA50" s="312"/>
      <c r="BB50" s="312"/>
      <c r="BC50" s="312"/>
      <c r="BD50" s="315"/>
      <c r="BE50" s="314"/>
      <c r="BF50" s="312"/>
      <c r="BG50" s="312"/>
      <c r="BH50" s="312"/>
      <c r="BI50" s="315"/>
      <c r="BJ50" s="314"/>
      <c r="BK50" s="312"/>
      <c r="BL50" s="312"/>
      <c r="BM50" s="312"/>
      <c r="BN50" s="315"/>
      <c r="BO50" s="314"/>
      <c r="BP50" s="312"/>
      <c r="BQ50" s="312"/>
      <c r="BR50" s="312"/>
      <c r="BS50" s="315"/>
      <c r="BT50" s="314"/>
      <c r="BU50" s="312"/>
      <c r="BV50" s="312"/>
      <c r="BW50" s="312"/>
      <c r="BX50" s="315"/>
      <c r="BY50" s="314"/>
      <c r="BZ50" s="312"/>
      <c r="CA50" s="312"/>
      <c r="CB50" s="312"/>
      <c r="CC50" s="315"/>
      <c r="CD50" s="314"/>
      <c r="CE50" s="312"/>
      <c r="CF50" s="312"/>
      <c r="CG50" s="312"/>
      <c r="CH50" s="315"/>
      <c r="CI50" s="314"/>
      <c r="CJ50" s="312"/>
      <c r="CK50" s="312"/>
      <c r="CL50" s="312"/>
      <c r="CM50" s="315"/>
      <c r="CN50" s="314"/>
      <c r="CO50" s="312"/>
      <c r="CP50" s="312"/>
      <c r="CQ50" s="312"/>
      <c r="CR50" s="315"/>
      <c r="CS50" s="314"/>
      <c r="CT50" s="312"/>
      <c r="CU50" s="312"/>
      <c r="CV50" s="312"/>
      <c r="CW50" s="315"/>
      <c r="CX50" s="314"/>
      <c r="CY50" s="312"/>
      <c r="CZ50" s="312"/>
      <c r="DA50" s="312"/>
      <c r="DB50" s="315"/>
      <c r="DC50" s="314"/>
      <c r="DD50" s="312"/>
      <c r="DE50" s="312"/>
      <c r="DF50" s="312"/>
      <c r="DG50" s="313"/>
      <c r="DH50" s="314"/>
      <c r="DI50" s="312"/>
      <c r="DJ50" s="312"/>
      <c r="DK50" s="312"/>
      <c r="DL50" s="313"/>
      <c r="DM50" s="305">
        <f>COUNTIF($G$50:$DL$50,"/")</f>
        <v>0</v>
      </c>
      <c r="DN50" s="305">
        <f>COUNTIF($G$50:$DL$50,"ป")</f>
        <v>0</v>
      </c>
      <c r="DO50" s="305">
        <f>COUNTIF($G$50:$DL$50,"ล")</f>
        <v>0</v>
      </c>
      <c r="DP50" s="305">
        <f>COUNTIF($G$50:$DL$50,"ข")</f>
        <v>0</v>
      </c>
      <c r="DQ50" s="304" t="e">
        <f t="shared" si="1"/>
        <v>#DIV/0!</v>
      </c>
      <c r="DR50" s="355">
        <f t="shared" si="0"/>
        <v>0</v>
      </c>
      <c r="DW50" s="175">
        <v>50</v>
      </c>
    </row>
    <row r="51" spans="1:127" ht="18" customHeight="1" x14ac:dyDescent="0.3">
      <c r="A51" s="309">
        <f>ปพ.5!$A$51</f>
        <v>46</v>
      </c>
      <c r="B51" s="322">
        <f>ปพ.5!$B$51</f>
        <v>0</v>
      </c>
      <c r="C51" s="352">
        <f>ปพ.5!$C$51</f>
        <v>0</v>
      </c>
      <c r="D51" s="582">
        <f>ปพ.5!$D$51</f>
        <v>0</v>
      </c>
      <c r="E51" s="583"/>
      <c r="F51" s="584"/>
      <c r="G51" s="311"/>
      <c r="H51" s="312"/>
      <c r="I51" s="312"/>
      <c r="J51" s="312"/>
      <c r="K51" s="313"/>
      <c r="L51" s="314"/>
      <c r="M51" s="312"/>
      <c r="N51" s="312"/>
      <c r="O51" s="312"/>
      <c r="P51" s="315"/>
      <c r="Q51" s="314"/>
      <c r="R51" s="312"/>
      <c r="S51" s="312"/>
      <c r="T51" s="312"/>
      <c r="U51" s="315"/>
      <c r="V51" s="314"/>
      <c r="W51" s="312"/>
      <c r="X51" s="312"/>
      <c r="Y51" s="312"/>
      <c r="Z51" s="315"/>
      <c r="AA51" s="314"/>
      <c r="AB51" s="312"/>
      <c r="AC51" s="312"/>
      <c r="AD51" s="312"/>
      <c r="AE51" s="315"/>
      <c r="AF51" s="314"/>
      <c r="AG51" s="312"/>
      <c r="AH51" s="312"/>
      <c r="AI51" s="312"/>
      <c r="AJ51" s="315"/>
      <c r="AK51" s="314"/>
      <c r="AL51" s="312"/>
      <c r="AM51" s="312"/>
      <c r="AN51" s="312"/>
      <c r="AO51" s="315"/>
      <c r="AP51" s="314"/>
      <c r="AQ51" s="312"/>
      <c r="AR51" s="312"/>
      <c r="AS51" s="312"/>
      <c r="AT51" s="315"/>
      <c r="AU51" s="314"/>
      <c r="AV51" s="312"/>
      <c r="AW51" s="312"/>
      <c r="AX51" s="312"/>
      <c r="AY51" s="315"/>
      <c r="AZ51" s="314"/>
      <c r="BA51" s="312"/>
      <c r="BB51" s="312"/>
      <c r="BC51" s="312"/>
      <c r="BD51" s="315"/>
      <c r="BE51" s="314"/>
      <c r="BF51" s="312"/>
      <c r="BG51" s="312"/>
      <c r="BH51" s="312"/>
      <c r="BI51" s="315"/>
      <c r="BJ51" s="314"/>
      <c r="BK51" s="312"/>
      <c r="BL51" s="312"/>
      <c r="BM51" s="312"/>
      <c r="BN51" s="315"/>
      <c r="BO51" s="314"/>
      <c r="BP51" s="312"/>
      <c r="BQ51" s="312"/>
      <c r="BR51" s="312"/>
      <c r="BS51" s="315"/>
      <c r="BT51" s="314"/>
      <c r="BU51" s="312"/>
      <c r="BV51" s="312"/>
      <c r="BW51" s="312"/>
      <c r="BX51" s="315"/>
      <c r="BY51" s="314"/>
      <c r="BZ51" s="312"/>
      <c r="CA51" s="312"/>
      <c r="CB51" s="312"/>
      <c r="CC51" s="315"/>
      <c r="CD51" s="314"/>
      <c r="CE51" s="312"/>
      <c r="CF51" s="312"/>
      <c r="CG51" s="312"/>
      <c r="CH51" s="315"/>
      <c r="CI51" s="314"/>
      <c r="CJ51" s="312"/>
      <c r="CK51" s="312"/>
      <c r="CL51" s="312"/>
      <c r="CM51" s="315"/>
      <c r="CN51" s="314"/>
      <c r="CO51" s="312"/>
      <c r="CP51" s="312"/>
      <c r="CQ51" s="312"/>
      <c r="CR51" s="315"/>
      <c r="CS51" s="314"/>
      <c r="CT51" s="312"/>
      <c r="CU51" s="312"/>
      <c r="CV51" s="312"/>
      <c r="CW51" s="315"/>
      <c r="CX51" s="314"/>
      <c r="CY51" s="312"/>
      <c r="CZ51" s="312"/>
      <c r="DA51" s="312"/>
      <c r="DB51" s="315"/>
      <c r="DC51" s="314"/>
      <c r="DD51" s="312"/>
      <c r="DE51" s="312"/>
      <c r="DF51" s="312"/>
      <c r="DG51" s="313"/>
      <c r="DH51" s="314"/>
      <c r="DI51" s="312"/>
      <c r="DJ51" s="312"/>
      <c r="DK51" s="312"/>
      <c r="DL51" s="313"/>
      <c r="DM51" s="305">
        <f>COUNTIF($G$51:$DL$51,"/")</f>
        <v>0</v>
      </c>
      <c r="DN51" s="305">
        <f>COUNTIF($G$51:$DL$51,"ป")</f>
        <v>0</v>
      </c>
      <c r="DO51" s="305">
        <f>COUNTIF($G$51:$DL$51,"ล")</f>
        <v>0</v>
      </c>
      <c r="DP51" s="305">
        <f>COUNTIF($G$51:$DL$51,"ข")</f>
        <v>0</v>
      </c>
      <c r="DQ51" s="304" t="e">
        <f t="shared" si="1"/>
        <v>#DIV/0!</v>
      </c>
      <c r="DR51" s="355">
        <f t="shared" si="0"/>
        <v>0</v>
      </c>
      <c r="DW51" s="175">
        <v>51</v>
      </c>
    </row>
    <row r="52" spans="1:127" ht="18" customHeight="1" x14ac:dyDescent="0.3">
      <c r="A52" s="309">
        <f>ปพ.5!$A$52</f>
        <v>47</v>
      </c>
      <c r="B52" s="322">
        <f>ปพ.5!$B$52</f>
        <v>0</v>
      </c>
      <c r="C52" s="352">
        <f>ปพ.5!$C$52</f>
        <v>0</v>
      </c>
      <c r="D52" s="582">
        <f>ปพ.5!$D$52</f>
        <v>0</v>
      </c>
      <c r="E52" s="583"/>
      <c r="F52" s="584"/>
      <c r="G52" s="311"/>
      <c r="H52" s="312"/>
      <c r="I52" s="312"/>
      <c r="J52" s="312"/>
      <c r="K52" s="313"/>
      <c r="L52" s="314"/>
      <c r="M52" s="312"/>
      <c r="N52" s="312"/>
      <c r="O52" s="312"/>
      <c r="P52" s="315"/>
      <c r="Q52" s="314"/>
      <c r="R52" s="312"/>
      <c r="S52" s="312"/>
      <c r="T52" s="312"/>
      <c r="U52" s="315"/>
      <c r="V52" s="314"/>
      <c r="W52" s="312"/>
      <c r="X52" s="312"/>
      <c r="Y52" s="312"/>
      <c r="Z52" s="315"/>
      <c r="AA52" s="314"/>
      <c r="AB52" s="312"/>
      <c r="AC52" s="312"/>
      <c r="AD52" s="312"/>
      <c r="AE52" s="315"/>
      <c r="AF52" s="314"/>
      <c r="AG52" s="312"/>
      <c r="AH52" s="312"/>
      <c r="AI52" s="312"/>
      <c r="AJ52" s="315"/>
      <c r="AK52" s="314"/>
      <c r="AL52" s="312"/>
      <c r="AM52" s="312"/>
      <c r="AN52" s="312"/>
      <c r="AO52" s="315"/>
      <c r="AP52" s="314"/>
      <c r="AQ52" s="312"/>
      <c r="AR52" s="312"/>
      <c r="AS52" s="312"/>
      <c r="AT52" s="315"/>
      <c r="AU52" s="314"/>
      <c r="AV52" s="312"/>
      <c r="AW52" s="312"/>
      <c r="AX52" s="312"/>
      <c r="AY52" s="315"/>
      <c r="AZ52" s="314"/>
      <c r="BA52" s="312"/>
      <c r="BB52" s="312"/>
      <c r="BC52" s="312"/>
      <c r="BD52" s="315"/>
      <c r="BE52" s="314"/>
      <c r="BF52" s="312"/>
      <c r="BG52" s="312"/>
      <c r="BH52" s="312"/>
      <c r="BI52" s="315"/>
      <c r="BJ52" s="314"/>
      <c r="BK52" s="312"/>
      <c r="BL52" s="312"/>
      <c r="BM52" s="312"/>
      <c r="BN52" s="315"/>
      <c r="BO52" s="314"/>
      <c r="BP52" s="312"/>
      <c r="BQ52" s="312"/>
      <c r="BR52" s="312"/>
      <c r="BS52" s="315"/>
      <c r="BT52" s="314"/>
      <c r="BU52" s="312"/>
      <c r="BV52" s="312"/>
      <c r="BW52" s="312"/>
      <c r="BX52" s="315"/>
      <c r="BY52" s="314"/>
      <c r="BZ52" s="312"/>
      <c r="CA52" s="312"/>
      <c r="CB52" s="312"/>
      <c r="CC52" s="315"/>
      <c r="CD52" s="314"/>
      <c r="CE52" s="312"/>
      <c r="CF52" s="312"/>
      <c r="CG52" s="312"/>
      <c r="CH52" s="315"/>
      <c r="CI52" s="314"/>
      <c r="CJ52" s="312"/>
      <c r="CK52" s="312"/>
      <c r="CL52" s="312"/>
      <c r="CM52" s="315"/>
      <c r="CN52" s="314"/>
      <c r="CO52" s="312"/>
      <c r="CP52" s="312"/>
      <c r="CQ52" s="312"/>
      <c r="CR52" s="315"/>
      <c r="CS52" s="314"/>
      <c r="CT52" s="312"/>
      <c r="CU52" s="312"/>
      <c r="CV52" s="312"/>
      <c r="CW52" s="315"/>
      <c r="CX52" s="314"/>
      <c r="CY52" s="312"/>
      <c r="CZ52" s="312"/>
      <c r="DA52" s="312"/>
      <c r="DB52" s="315"/>
      <c r="DC52" s="314"/>
      <c r="DD52" s="312"/>
      <c r="DE52" s="312"/>
      <c r="DF52" s="312"/>
      <c r="DG52" s="313"/>
      <c r="DH52" s="314"/>
      <c r="DI52" s="312"/>
      <c r="DJ52" s="312"/>
      <c r="DK52" s="312"/>
      <c r="DL52" s="313"/>
      <c r="DM52" s="305">
        <f>COUNTIF($G$52:$DL$52,"/")</f>
        <v>0</v>
      </c>
      <c r="DN52" s="305">
        <f>COUNTIF($G$52:$DL$52,"ป")</f>
        <v>0</v>
      </c>
      <c r="DO52" s="305">
        <f>COUNTIF($G$52:$DL$52,"ล")</f>
        <v>0</v>
      </c>
      <c r="DP52" s="305">
        <f>COUNTIF($G$52:$DL$52,"ข")</f>
        <v>0</v>
      </c>
      <c r="DQ52" s="304" t="e">
        <f t="shared" si="1"/>
        <v>#DIV/0!</v>
      </c>
      <c r="DR52" s="355">
        <f t="shared" si="0"/>
        <v>0</v>
      </c>
      <c r="DW52" s="175">
        <v>52</v>
      </c>
    </row>
    <row r="53" spans="1:127" ht="18" customHeight="1" x14ac:dyDescent="0.3">
      <c r="A53" s="309">
        <f>ปพ.5!$A$53</f>
        <v>48</v>
      </c>
      <c r="B53" s="322">
        <f>ปพ.5!$B$53</f>
        <v>0</v>
      </c>
      <c r="C53" s="352">
        <f>ปพ.5!$C$53</f>
        <v>0</v>
      </c>
      <c r="D53" s="582">
        <f>ปพ.5!$D$53</f>
        <v>0</v>
      </c>
      <c r="E53" s="583"/>
      <c r="F53" s="584"/>
      <c r="G53" s="311"/>
      <c r="H53" s="312"/>
      <c r="I53" s="312"/>
      <c r="J53" s="312"/>
      <c r="K53" s="313"/>
      <c r="L53" s="314"/>
      <c r="M53" s="312"/>
      <c r="N53" s="312"/>
      <c r="O53" s="312"/>
      <c r="P53" s="315"/>
      <c r="Q53" s="314"/>
      <c r="R53" s="312"/>
      <c r="S53" s="312"/>
      <c r="T53" s="312"/>
      <c r="U53" s="315"/>
      <c r="V53" s="314"/>
      <c r="W53" s="312"/>
      <c r="X53" s="312"/>
      <c r="Y53" s="312"/>
      <c r="Z53" s="315"/>
      <c r="AA53" s="314"/>
      <c r="AB53" s="312"/>
      <c r="AC53" s="312"/>
      <c r="AD53" s="312"/>
      <c r="AE53" s="315"/>
      <c r="AF53" s="314"/>
      <c r="AG53" s="312"/>
      <c r="AH53" s="312"/>
      <c r="AI53" s="312"/>
      <c r="AJ53" s="315"/>
      <c r="AK53" s="314"/>
      <c r="AL53" s="312"/>
      <c r="AM53" s="312"/>
      <c r="AN53" s="312"/>
      <c r="AO53" s="315"/>
      <c r="AP53" s="314"/>
      <c r="AQ53" s="312"/>
      <c r="AR53" s="312"/>
      <c r="AS53" s="312"/>
      <c r="AT53" s="315"/>
      <c r="AU53" s="314"/>
      <c r="AV53" s="312"/>
      <c r="AW53" s="312"/>
      <c r="AX53" s="312"/>
      <c r="AY53" s="315"/>
      <c r="AZ53" s="314"/>
      <c r="BA53" s="312"/>
      <c r="BB53" s="312"/>
      <c r="BC53" s="312"/>
      <c r="BD53" s="315"/>
      <c r="BE53" s="314"/>
      <c r="BF53" s="312"/>
      <c r="BG53" s="312"/>
      <c r="BH53" s="312"/>
      <c r="BI53" s="315"/>
      <c r="BJ53" s="314"/>
      <c r="BK53" s="312"/>
      <c r="BL53" s="312"/>
      <c r="BM53" s="312"/>
      <c r="BN53" s="315"/>
      <c r="BO53" s="314"/>
      <c r="BP53" s="312"/>
      <c r="BQ53" s="312"/>
      <c r="BR53" s="312"/>
      <c r="BS53" s="315"/>
      <c r="BT53" s="314"/>
      <c r="BU53" s="312"/>
      <c r="BV53" s="312"/>
      <c r="BW53" s="312"/>
      <c r="BX53" s="315"/>
      <c r="BY53" s="314"/>
      <c r="BZ53" s="312"/>
      <c r="CA53" s="312"/>
      <c r="CB53" s="312"/>
      <c r="CC53" s="315"/>
      <c r="CD53" s="314"/>
      <c r="CE53" s="312"/>
      <c r="CF53" s="312"/>
      <c r="CG53" s="312"/>
      <c r="CH53" s="315"/>
      <c r="CI53" s="314"/>
      <c r="CJ53" s="312"/>
      <c r="CK53" s="312"/>
      <c r="CL53" s="312"/>
      <c r="CM53" s="315"/>
      <c r="CN53" s="314"/>
      <c r="CO53" s="312"/>
      <c r="CP53" s="312"/>
      <c r="CQ53" s="312"/>
      <c r="CR53" s="315"/>
      <c r="CS53" s="314"/>
      <c r="CT53" s="312"/>
      <c r="CU53" s="312"/>
      <c r="CV53" s="312"/>
      <c r="CW53" s="315"/>
      <c r="CX53" s="314"/>
      <c r="CY53" s="312"/>
      <c r="CZ53" s="312"/>
      <c r="DA53" s="312"/>
      <c r="DB53" s="315"/>
      <c r="DC53" s="314"/>
      <c r="DD53" s="312"/>
      <c r="DE53" s="312"/>
      <c r="DF53" s="312"/>
      <c r="DG53" s="313"/>
      <c r="DH53" s="314"/>
      <c r="DI53" s="312"/>
      <c r="DJ53" s="312"/>
      <c r="DK53" s="312"/>
      <c r="DL53" s="313"/>
      <c r="DM53" s="305">
        <f>COUNTIF($G$53:$DL$53,"/")</f>
        <v>0</v>
      </c>
      <c r="DN53" s="305">
        <f>COUNTIF($G$53:$DL$53,"ป")</f>
        <v>0</v>
      </c>
      <c r="DO53" s="305">
        <f>COUNTIF($G$53:$DL$53,"ล")</f>
        <v>0</v>
      </c>
      <c r="DP53" s="305">
        <f>COUNTIF($G$53:$DL$53,"ข")</f>
        <v>0</v>
      </c>
      <c r="DQ53" s="304" t="e">
        <f t="shared" si="1"/>
        <v>#DIV/0!</v>
      </c>
      <c r="DR53" s="355">
        <f t="shared" si="0"/>
        <v>0</v>
      </c>
      <c r="DW53" s="175">
        <v>53</v>
      </c>
    </row>
    <row r="54" spans="1:127" ht="18" customHeight="1" x14ac:dyDescent="0.3">
      <c r="A54" s="309">
        <f>ปพ.5!$A$54</f>
        <v>49</v>
      </c>
      <c r="B54" s="322">
        <f>ปพ.5!$B$54</f>
        <v>0</v>
      </c>
      <c r="C54" s="352">
        <f>ปพ.5!$C$54</f>
        <v>0</v>
      </c>
      <c r="D54" s="582">
        <f>ปพ.5!$D$54</f>
        <v>0</v>
      </c>
      <c r="E54" s="583"/>
      <c r="F54" s="584"/>
      <c r="G54" s="311"/>
      <c r="H54" s="312"/>
      <c r="I54" s="312"/>
      <c r="J54" s="312"/>
      <c r="K54" s="313"/>
      <c r="L54" s="314"/>
      <c r="M54" s="312"/>
      <c r="N54" s="312"/>
      <c r="O54" s="312"/>
      <c r="P54" s="315"/>
      <c r="Q54" s="314"/>
      <c r="R54" s="312"/>
      <c r="S54" s="312"/>
      <c r="T54" s="312"/>
      <c r="U54" s="315"/>
      <c r="V54" s="314"/>
      <c r="W54" s="312"/>
      <c r="X54" s="312"/>
      <c r="Y54" s="312"/>
      <c r="Z54" s="315"/>
      <c r="AA54" s="314"/>
      <c r="AB54" s="312"/>
      <c r="AC54" s="312"/>
      <c r="AD54" s="312"/>
      <c r="AE54" s="315"/>
      <c r="AF54" s="314"/>
      <c r="AG54" s="312"/>
      <c r="AH54" s="312"/>
      <c r="AI54" s="312"/>
      <c r="AJ54" s="315"/>
      <c r="AK54" s="314"/>
      <c r="AL54" s="312"/>
      <c r="AM54" s="312"/>
      <c r="AN54" s="312"/>
      <c r="AO54" s="315"/>
      <c r="AP54" s="314"/>
      <c r="AQ54" s="312"/>
      <c r="AR54" s="312"/>
      <c r="AS54" s="312"/>
      <c r="AT54" s="315"/>
      <c r="AU54" s="314"/>
      <c r="AV54" s="312"/>
      <c r="AW54" s="312"/>
      <c r="AX54" s="312"/>
      <c r="AY54" s="315"/>
      <c r="AZ54" s="314"/>
      <c r="BA54" s="312"/>
      <c r="BB54" s="312"/>
      <c r="BC54" s="312"/>
      <c r="BD54" s="315"/>
      <c r="BE54" s="314"/>
      <c r="BF54" s="312"/>
      <c r="BG54" s="312"/>
      <c r="BH54" s="312"/>
      <c r="BI54" s="315"/>
      <c r="BJ54" s="314"/>
      <c r="BK54" s="312"/>
      <c r="BL54" s="312"/>
      <c r="BM54" s="312"/>
      <c r="BN54" s="315"/>
      <c r="BO54" s="314"/>
      <c r="BP54" s="312"/>
      <c r="BQ54" s="312"/>
      <c r="BR54" s="312"/>
      <c r="BS54" s="315"/>
      <c r="BT54" s="314"/>
      <c r="BU54" s="312"/>
      <c r="BV54" s="312"/>
      <c r="BW54" s="312"/>
      <c r="BX54" s="315"/>
      <c r="BY54" s="314"/>
      <c r="BZ54" s="312"/>
      <c r="CA54" s="312"/>
      <c r="CB54" s="312"/>
      <c r="CC54" s="315"/>
      <c r="CD54" s="314"/>
      <c r="CE54" s="312"/>
      <c r="CF54" s="312"/>
      <c r="CG54" s="312"/>
      <c r="CH54" s="315"/>
      <c r="CI54" s="314"/>
      <c r="CJ54" s="312"/>
      <c r="CK54" s="312"/>
      <c r="CL54" s="312"/>
      <c r="CM54" s="315"/>
      <c r="CN54" s="314"/>
      <c r="CO54" s="312"/>
      <c r="CP54" s="312"/>
      <c r="CQ54" s="312"/>
      <c r="CR54" s="315"/>
      <c r="CS54" s="314"/>
      <c r="CT54" s="312"/>
      <c r="CU54" s="312"/>
      <c r="CV54" s="312"/>
      <c r="CW54" s="315"/>
      <c r="CX54" s="314"/>
      <c r="CY54" s="312"/>
      <c r="CZ54" s="312"/>
      <c r="DA54" s="312"/>
      <c r="DB54" s="315"/>
      <c r="DC54" s="314"/>
      <c r="DD54" s="312"/>
      <c r="DE54" s="312"/>
      <c r="DF54" s="312"/>
      <c r="DG54" s="313"/>
      <c r="DH54" s="314"/>
      <c r="DI54" s="312"/>
      <c r="DJ54" s="312"/>
      <c r="DK54" s="312"/>
      <c r="DL54" s="313"/>
      <c r="DM54" s="305">
        <f>COUNTIF($G$54:$DL$54,"/")</f>
        <v>0</v>
      </c>
      <c r="DN54" s="305">
        <f>COUNTIF($G$54:$DL$54,"ป")</f>
        <v>0</v>
      </c>
      <c r="DO54" s="305">
        <f>COUNTIF($G$54:$DL$54,"ล")</f>
        <v>0</v>
      </c>
      <c r="DP54" s="305">
        <f>COUNTIF($G$54:$DL$54,"ข")</f>
        <v>0</v>
      </c>
      <c r="DQ54" s="304" t="e">
        <f t="shared" si="1"/>
        <v>#DIV/0!</v>
      </c>
      <c r="DR54" s="355">
        <f t="shared" si="0"/>
        <v>0</v>
      </c>
      <c r="DW54" s="175">
        <v>54</v>
      </c>
    </row>
    <row r="55" spans="1:127" ht="18" customHeight="1" thickBot="1" x14ac:dyDescent="0.35">
      <c r="A55" s="310">
        <f>ปพ.5!$A$55</f>
        <v>50</v>
      </c>
      <c r="B55" s="323">
        <f>ปพ.5!$B$55</f>
        <v>0</v>
      </c>
      <c r="C55" s="353">
        <f>ปพ.5!$C$55</f>
        <v>0</v>
      </c>
      <c r="D55" s="594">
        <f>ปพ.5!$D$55</f>
        <v>0</v>
      </c>
      <c r="E55" s="595"/>
      <c r="F55" s="596"/>
      <c r="G55" s="316"/>
      <c r="H55" s="317"/>
      <c r="I55" s="317"/>
      <c r="J55" s="317"/>
      <c r="K55" s="318"/>
      <c r="L55" s="319"/>
      <c r="M55" s="317"/>
      <c r="N55" s="317"/>
      <c r="O55" s="317"/>
      <c r="P55" s="320"/>
      <c r="Q55" s="319"/>
      <c r="R55" s="317"/>
      <c r="S55" s="317"/>
      <c r="T55" s="317"/>
      <c r="U55" s="320"/>
      <c r="V55" s="319"/>
      <c r="W55" s="317"/>
      <c r="X55" s="317"/>
      <c r="Y55" s="317"/>
      <c r="Z55" s="320"/>
      <c r="AA55" s="319"/>
      <c r="AB55" s="317"/>
      <c r="AC55" s="317"/>
      <c r="AD55" s="317"/>
      <c r="AE55" s="320"/>
      <c r="AF55" s="319"/>
      <c r="AG55" s="317"/>
      <c r="AH55" s="317"/>
      <c r="AI55" s="317"/>
      <c r="AJ55" s="320"/>
      <c r="AK55" s="319"/>
      <c r="AL55" s="317"/>
      <c r="AM55" s="317"/>
      <c r="AN55" s="317"/>
      <c r="AO55" s="320"/>
      <c r="AP55" s="319"/>
      <c r="AQ55" s="317"/>
      <c r="AR55" s="317"/>
      <c r="AS55" s="317"/>
      <c r="AT55" s="320"/>
      <c r="AU55" s="319"/>
      <c r="AV55" s="317"/>
      <c r="AW55" s="317"/>
      <c r="AX55" s="317"/>
      <c r="AY55" s="320"/>
      <c r="AZ55" s="319"/>
      <c r="BA55" s="317"/>
      <c r="BB55" s="317"/>
      <c r="BC55" s="317"/>
      <c r="BD55" s="320"/>
      <c r="BE55" s="319"/>
      <c r="BF55" s="317"/>
      <c r="BG55" s="317"/>
      <c r="BH55" s="317"/>
      <c r="BI55" s="320"/>
      <c r="BJ55" s="319"/>
      <c r="BK55" s="317"/>
      <c r="BL55" s="317"/>
      <c r="BM55" s="317"/>
      <c r="BN55" s="320"/>
      <c r="BO55" s="319"/>
      <c r="BP55" s="317"/>
      <c r="BQ55" s="317"/>
      <c r="BR55" s="317"/>
      <c r="BS55" s="320"/>
      <c r="BT55" s="319"/>
      <c r="BU55" s="317"/>
      <c r="BV55" s="317"/>
      <c r="BW55" s="317"/>
      <c r="BX55" s="320"/>
      <c r="BY55" s="319"/>
      <c r="BZ55" s="317"/>
      <c r="CA55" s="317"/>
      <c r="CB55" s="317"/>
      <c r="CC55" s="320"/>
      <c r="CD55" s="319"/>
      <c r="CE55" s="317"/>
      <c r="CF55" s="317"/>
      <c r="CG55" s="317"/>
      <c r="CH55" s="320"/>
      <c r="CI55" s="319"/>
      <c r="CJ55" s="317"/>
      <c r="CK55" s="317"/>
      <c r="CL55" s="317"/>
      <c r="CM55" s="320"/>
      <c r="CN55" s="319"/>
      <c r="CO55" s="317"/>
      <c r="CP55" s="317"/>
      <c r="CQ55" s="317"/>
      <c r="CR55" s="320"/>
      <c r="CS55" s="319"/>
      <c r="CT55" s="317"/>
      <c r="CU55" s="317"/>
      <c r="CV55" s="317"/>
      <c r="CW55" s="320"/>
      <c r="CX55" s="319"/>
      <c r="CY55" s="317"/>
      <c r="CZ55" s="317"/>
      <c r="DA55" s="317"/>
      <c r="DB55" s="320"/>
      <c r="DC55" s="319"/>
      <c r="DD55" s="317"/>
      <c r="DE55" s="317"/>
      <c r="DF55" s="317"/>
      <c r="DG55" s="318"/>
      <c r="DH55" s="319"/>
      <c r="DI55" s="317"/>
      <c r="DJ55" s="317"/>
      <c r="DK55" s="317"/>
      <c r="DL55" s="318"/>
      <c r="DM55" s="305">
        <f>COUNTIF($G$55:$DL$55,"/")</f>
        <v>0</v>
      </c>
      <c r="DN55" s="307">
        <f>COUNTIF($G$55:$DL$55,"ป")</f>
        <v>0</v>
      </c>
      <c r="DO55" s="307">
        <f>COUNTIF($G$55:$DL$55,"ล")</f>
        <v>0</v>
      </c>
      <c r="DP55" s="307">
        <f>COUNTIF($G$55:$DL$55,"ข")</f>
        <v>0</v>
      </c>
      <c r="DQ55" s="304" t="e">
        <f t="shared" si="1"/>
        <v>#DIV/0!</v>
      </c>
      <c r="DR55" s="355">
        <f t="shared" si="0"/>
        <v>0</v>
      </c>
      <c r="DW55" s="175">
        <v>55</v>
      </c>
    </row>
    <row r="56" spans="1:127" x14ac:dyDescent="0.3">
      <c r="A56" s="135"/>
      <c r="B56" s="135"/>
      <c r="C56" s="136"/>
      <c r="D56" s="137"/>
      <c r="DW56" s="175">
        <v>56</v>
      </c>
    </row>
    <row r="57" spans="1:127" x14ac:dyDescent="0.3">
      <c r="A57" s="135"/>
      <c r="B57" s="135"/>
      <c r="C57" s="136"/>
      <c r="D57" s="137"/>
      <c r="DW57" s="175">
        <v>57</v>
      </c>
    </row>
    <row r="58" spans="1:127" x14ac:dyDescent="0.3">
      <c r="A58" s="138"/>
      <c r="B58" s="138"/>
      <c r="C58" s="138"/>
      <c r="D58" s="138"/>
      <c r="DW58" s="175">
        <v>58</v>
      </c>
    </row>
    <row r="59" spans="1:127" x14ac:dyDescent="0.3">
      <c r="A59" s="138"/>
      <c r="B59" s="138"/>
      <c r="C59" s="138"/>
      <c r="D59" s="138"/>
      <c r="DW59" s="175">
        <v>59</v>
      </c>
    </row>
    <row r="60" spans="1:127" x14ac:dyDescent="0.3">
      <c r="A60" s="138"/>
      <c r="B60" s="138"/>
      <c r="C60" s="138"/>
      <c r="D60" s="138"/>
      <c r="DW60" s="175">
        <v>60</v>
      </c>
    </row>
    <row r="61" spans="1:127" x14ac:dyDescent="0.3">
      <c r="A61" s="138"/>
      <c r="B61" s="138"/>
      <c r="C61" s="138"/>
      <c r="D61" s="138"/>
      <c r="DW61" s="175">
        <v>61</v>
      </c>
    </row>
    <row r="62" spans="1:127" x14ac:dyDescent="0.3">
      <c r="A62" s="138"/>
      <c r="B62" s="138"/>
      <c r="C62" s="138"/>
      <c r="D62" s="138"/>
      <c r="DW62" s="175">
        <v>62</v>
      </c>
    </row>
    <row r="63" spans="1:127" x14ac:dyDescent="0.3">
      <c r="A63" s="138"/>
      <c r="B63" s="138"/>
      <c r="C63" s="138"/>
      <c r="D63" s="138"/>
      <c r="DW63" s="175">
        <v>63</v>
      </c>
    </row>
    <row r="64" spans="1:127" x14ac:dyDescent="0.3">
      <c r="A64" s="138"/>
      <c r="B64" s="138"/>
      <c r="C64" s="138"/>
      <c r="D64" s="138"/>
      <c r="DW64" s="175">
        <v>64</v>
      </c>
    </row>
    <row r="65" spans="1:127" x14ac:dyDescent="0.3">
      <c r="A65" s="138"/>
      <c r="B65" s="138"/>
      <c r="C65" s="138"/>
      <c r="D65" s="138"/>
      <c r="DW65" s="175">
        <v>65</v>
      </c>
    </row>
    <row r="66" spans="1:127" x14ac:dyDescent="0.3">
      <c r="A66" s="138"/>
      <c r="B66" s="138"/>
      <c r="C66" s="138"/>
      <c r="D66" s="138"/>
      <c r="DW66" s="175">
        <v>66</v>
      </c>
    </row>
    <row r="67" spans="1:127" x14ac:dyDescent="0.3">
      <c r="A67" s="138"/>
      <c r="B67" s="138"/>
      <c r="C67" s="138"/>
      <c r="D67" s="138"/>
      <c r="DW67" s="175">
        <v>67</v>
      </c>
    </row>
    <row r="68" spans="1:127" x14ac:dyDescent="0.3">
      <c r="A68" s="138"/>
      <c r="B68" s="138"/>
      <c r="C68" s="138"/>
      <c r="D68" s="138"/>
      <c r="DW68" s="175">
        <v>68</v>
      </c>
    </row>
    <row r="69" spans="1:127" x14ac:dyDescent="0.3">
      <c r="A69" s="138"/>
      <c r="B69" s="138"/>
      <c r="C69" s="138"/>
      <c r="D69" s="138"/>
      <c r="DW69" s="175">
        <v>69</v>
      </c>
    </row>
    <row r="70" spans="1:127" x14ac:dyDescent="0.3">
      <c r="A70" s="138"/>
      <c r="B70" s="138"/>
      <c r="C70" s="138"/>
      <c r="D70" s="138"/>
      <c r="DW70" s="175">
        <v>70</v>
      </c>
    </row>
    <row r="71" spans="1:127" x14ac:dyDescent="0.3">
      <c r="A71" s="138"/>
      <c r="B71" s="138"/>
      <c r="C71" s="138"/>
      <c r="D71" s="138"/>
      <c r="DW71" s="175">
        <v>71</v>
      </c>
    </row>
    <row r="72" spans="1:127" x14ac:dyDescent="0.3">
      <c r="A72" s="138"/>
      <c r="B72" s="138"/>
      <c r="C72" s="138"/>
      <c r="D72" s="138"/>
      <c r="DW72" s="175">
        <v>72</v>
      </c>
    </row>
    <row r="73" spans="1:127" x14ac:dyDescent="0.3">
      <c r="A73" s="138"/>
      <c r="B73" s="138"/>
      <c r="C73" s="138"/>
      <c r="D73" s="138"/>
      <c r="DW73" s="175">
        <v>73</v>
      </c>
    </row>
    <row r="74" spans="1:127" x14ac:dyDescent="0.3">
      <c r="A74" s="138"/>
      <c r="B74" s="138"/>
      <c r="C74" s="138"/>
      <c r="D74" s="138"/>
      <c r="DW74" s="175">
        <v>74</v>
      </c>
    </row>
    <row r="75" spans="1:127" x14ac:dyDescent="0.3">
      <c r="A75" s="138"/>
      <c r="B75" s="138"/>
      <c r="C75" s="138"/>
      <c r="D75" s="138"/>
      <c r="DW75" s="175">
        <v>75</v>
      </c>
    </row>
    <row r="76" spans="1:127" x14ac:dyDescent="0.3">
      <c r="A76" s="138"/>
      <c r="B76" s="138"/>
      <c r="C76" s="138"/>
      <c r="D76" s="138"/>
      <c r="DW76" s="175">
        <v>76</v>
      </c>
    </row>
    <row r="77" spans="1:127" x14ac:dyDescent="0.3">
      <c r="A77" s="138"/>
      <c r="B77" s="138"/>
      <c r="C77" s="138"/>
      <c r="D77" s="138"/>
      <c r="DW77" s="175">
        <v>77</v>
      </c>
    </row>
    <row r="78" spans="1:127" x14ac:dyDescent="0.3">
      <c r="A78" s="138"/>
      <c r="B78" s="138"/>
      <c r="C78" s="138"/>
      <c r="D78" s="138"/>
      <c r="DW78" s="175">
        <v>78</v>
      </c>
    </row>
    <row r="79" spans="1:127" x14ac:dyDescent="0.3">
      <c r="A79" s="138"/>
      <c r="B79" s="138"/>
      <c r="C79" s="138"/>
      <c r="D79" s="138"/>
      <c r="DW79" s="175">
        <v>79</v>
      </c>
    </row>
    <row r="80" spans="1:127" x14ac:dyDescent="0.3">
      <c r="A80" s="138"/>
      <c r="B80" s="138"/>
      <c r="C80" s="138"/>
      <c r="D80" s="138"/>
      <c r="DW80" s="175">
        <v>80</v>
      </c>
    </row>
    <row r="81" spans="1:127" x14ac:dyDescent="0.3">
      <c r="A81" s="138"/>
      <c r="B81" s="138"/>
      <c r="C81" s="138"/>
      <c r="D81" s="138"/>
      <c r="DW81" s="175">
        <v>81</v>
      </c>
    </row>
    <row r="82" spans="1:127" x14ac:dyDescent="0.3">
      <c r="A82" s="138"/>
      <c r="B82" s="138"/>
      <c r="C82" s="138"/>
      <c r="D82" s="138"/>
      <c r="DW82" s="175">
        <v>82</v>
      </c>
    </row>
    <row r="83" spans="1:127" x14ac:dyDescent="0.3">
      <c r="A83" s="138"/>
      <c r="B83" s="138"/>
      <c r="C83" s="138"/>
      <c r="D83" s="138"/>
      <c r="DW83" s="175">
        <v>83</v>
      </c>
    </row>
    <row r="84" spans="1:127" x14ac:dyDescent="0.3">
      <c r="A84" s="138"/>
      <c r="B84" s="138"/>
      <c r="C84" s="138"/>
      <c r="D84" s="138"/>
      <c r="DW84" s="175">
        <v>84</v>
      </c>
    </row>
    <row r="85" spans="1:127" x14ac:dyDescent="0.3">
      <c r="A85" s="138"/>
      <c r="B85" s="138"/>
      <c r="C85" s="138"/>
      <c r="D85" s="138"/>
      <c r="DW85" s="175">
        <v>85</v>
      </c>
    </row>
    <row r="86" spans="1:127" x14ac:dyDescent="0.3">
      <c r="A86" s="138"/>
      <c r="B86" s="138"/>
      <c r="C86" s="138"/>
      <c r="D86" s="138"/>
      <c r="DW86" s="175">
        <v>86</v>
      </c>
    </row>
    <row r="87" spans="1:127" x14ac:dyDescent="0.3">
      <c r="A87" s="138"/>
      <c r="B87" s="138"/>
      <c r="C87" s="138"/>
      <c r="D87" s="138"/>
      <c r="DW87" s="175">
        <v>87</v>
      </c>
    </row>
    <row r="88" spans="1:127" x14ac:dyDescent="0.3">
      <c r="A88" s="138"/>
      <c r="B88" s="138"/>
      <c r="C88" s="138"/>
      <c r="D88" s="138"/>
      <c r="DW88" s="175">
        <v>88</v>
      </c>
    </row>
    <row r="89" spans="1:127" x14ac:dyDescent="0.3">
      <c r="A89" s="138"/>
      <c r="B89" s="138"/>
      <c r="C89" s="138"/>
      <c r="D89" s="138"/>
      <c r="DW89" s="175">
        <v>89</v>
      </c>
    </row>
    <row r="90" spans="1:127" x14ac:dyDescent="0.3">
      <c r="A90" s="138"/>
      <c r="B90" s="138"/>
      <c r="C90" s="138"/>
      <c r="D90" s="138"/>
      <c r="DW90" s="175">
        <v>90</v>
      </c>
    </row>
    <row r="91" spans="1:127" x14ac:dyDescent="0.3">
      <c r="A91" s="138"/>
      <c r="B91" s="138"/>
      <c r="C91" s="138"/>
      <c r="D91" s="138"/>
      <c r="DW91" s="175">
        <v>91</v>
      </c>
    </row>
    <row r="92" spans="1:127" x14ac:dyDescent="0.3">
      <c r="A92" s="138"/>
      <c r="B92" s="138"/>
      <c r="C92" s="138"/>
      <c r="D92" s="138"/>
      <c r="DW92" s="175">
        <v>92</v>
      </c>
    </row>
    <row r="93" spans="1:127" x14ac:dyDescent="0.3">
      <c r="A93" s="138"/>
      <c r="B93" s="138"/>
      <c r="C93" s="138"/>
      <c r="D93" s="138"/>
      <c r="DW93" s="175">
        <v>93</v>
      </c>
    </row>
    <row r="94" spans="1:127" x14ac:dyDescent="0.3">
      <c r="A94" s="138"/>
      <c r="B94" s="138"/>
      <c r="C94" s="138"/>
      <c r="D94" s="138"/>
      <c r="DW94" s="175">
        <v>94</v>
      </c>
    </row>
    <row r="95" spans="1:127" x14ac:dyDescent="0.3">
      <c r="A95" s="138"/>
      <c r="B95" s="138"/>
      <c r="C95" s="138"/>
      <c r="D95" s="138"/>
      <c r="DW95" s="175">
        <v>95</v>
      </c>
    </row>
    <row r="96" spans="1:127" x14ac:dyDescent="0.3">
      <c r="A96" s="138"/>
      <c r="B96" s="138"/>
      <c r="C96" s="138"/>
      <c r="D96" s="138"/>
      <c r="DW96" s="175">
        <v>96</v>
      </c>
    </row>
    <row r="97" spans="1:127" x14ac:dyDescent="0.3">
      <c r="A97" s="138"/>
      <c r="B97" s="138"/>
      <c r="C97" s="138"/>
      <c r="D97" s="138"/>
      <c r="DW97" s="175">
        <v>97</v>
      </c>
    </row>
    <row r="98" spans="1:127" x14ac:dyDescent="0.3">
      <c r="A98" s="138"/>
      <c r="B98" s="138"/>
      <c r="C98" s="138"/>
      <c r="D98" s="138"/>
      <c r="DW98" s="175">
        <v>98</v>
      </c>
    </row>
    <row r="99" spans="1:127" x14ac:dyDescent="0.3">
      <c r="A99" s="138"/>
      <c r="B99" s="138"/>
      <c r="C99" s="138"/>
      <c r="D99" s="138"/>
      <c r="DW99" s="175">
        <v>99</v>
      </c>
    </row>
    <row r="100" spans="1:127" x14ac:dyDescent="0.3">
      <c r="A100" s="138"/>
      <c r="B100" s="138"/>
      <c r="C100" s="138"/>
      <c r="D100" s="138"/>
      <c r="DW100" s="175">
        <v>100</v>
      </c>
    </row>
    <row r="101" spans="1:127" x14ac:dyDescent="0.3">
      <c r="A101" s="138"/>
      <c r="B101" s="138"/>
      <c r="C101" s="138"/>
      <c r="D101" s="138"/>
      <c r="DW101" s="175">
        <v>101</v>
      </c>
    </row>
    <row r="102" spans="1:127" x14ac:dyDescent="0.3">
      <c r="A102" s="138"/>
      <c r="B102" s="138"/>
      <c r="C102" s="138"/>
      <c r="D102" s="138"/>
      <c r="DW102" s="175">
        <v>102</v>
      </c>
    </row>
    <row r="103" spans="1:127" x14ac:dyDescent="0.3">
      <c r="A103" s="138"/>
      <c r="B103" s="138"/>
      <c r="C103" s="138"/>
      <c r="D103" s="138"/>
      <c r="DW103" s="175">
        <v>103</v>
      </c>
    </row>
    <row r="104" spans="1:127" x14ac:dyDescent="0.3">
      <c r="A104" s="138"/>
      <c r="B104" s="138"/>
      <c r="C104" s="138"/>
      <c r="D104" s="138"/>
      <c r="DW104" s="175">
        <v>104</v>
      </c>
    </row>
    <row r="105" spans="1:127" x14ac:dyDescent="0.3">
      <c r="A105" s="138"/>
      <c r="B105" s="138"/>
      <c r="C105" s="138"/>
      <c r="D105" s="138"/>
      <c r="DW105" s="175">
        <v>105</v>
      </c>
    </row>
    <row r="106" spans="1:127" x14ac:dyDescent="0.3">
      <c r="A106" s="138"/>
      <c r="B106" s="138"/>
      <c r="C106" s="138"/>
      <c r="D106" s="138"/>
      <c r="DW106" s="175">
        <v>106</v>
      </c>
    </row>
    <row r="107" spans="1:127" x14ac:dyDescent="0.3">
      <c r="A107" s="138"/>
      <c r="B107" s="138"/>
      <c r="C107" s="138"/>
      <c r="D107" s="138"/>
      <c r="DW107" s="175">
        <v>107</v>
      </c>
    </row>
    <row r="108" spans="1:127" x14ac:dyDescent="0.3">
      <c r="A108" s="138"/>
      <c r="B108" s="138"/>
      <c r="C108" s="138"/>
      <c r="D108" s="138"/>
      <c r="DW108" s="175">
        <v>108</v>
      </c>
    </row>
    <row r="109" spans="1:127" x14ac:dyDescent="0.3">
      <c r="A109" s="138"/>
      <c r="B109" s="138"/>
      <c r="C109" s="138"/>
      <c r="D109" s="138"/>
      <c r="DW109" s="175">
        <v>109</v>
      </c>
    </row>
    <row r="110" spans="1:127" x14ac:dyDescent="0.3">
      <c r="A110" s="138"/>
      <c r="B110" s="138"/>
      <c r="C110" s="138"/>
      <c r="D110" s="138"/>
      <c r="DW110" s="175">
        <v>110</v>
      </c>
    </row>
    <row r="111" spans="1:127" x14ac:dyDescent="0.3">
      <c r="A111" s="138"/>
      <c r="B111" s="138"/>
      <c r="C111" s="138"/>
      <c r="D111" s="138"/>
    </row>
    <row r="112" spans="1:127" x14ac:dyDescent="0.3">
      <c r="A112" s="138"/>
      <c r="B112" s="138"/>
      <c r="C112" s="138"/>
      <c r="D112" s="138"/>
    </row>
    <row r="113" spans="1:4" x14ac:dyDescent="0.3">
      <c r="A113" s="138"/>
      <c r="B113" s="138"/>
      <c r="C113" s="138"/>
      <c r="D113" s="138"/>
    </row>
    <row r="114" spans="1:4" x14ac:dyDescent="0.3">
      <c r="A114" s="138"/>
      <c r="B114" s="138"/>
      <c r="C114" s="138"/>
      <c r="D114" s="138"/>
    </row>
    <row r="115" spans="1:4" x14ac:dyDescent="0.3">
      <c r="A115" s="138"/>
      <c r="B115" s="138"/>
      <c r="C115" s="138"/>
      <c r="D115" s="138"/>
    </row>
    <row r="116" spans="1:4" x14ac:dyDescent="0.3">
      <c r="A116" s="138"/>
      <c r="B116" s="138"/>
      <c r="C116" s="138"/>
      <c r="D116" s="138"/>
    </row>
    <row r="117" spans="1:4" x14ac:dyDescent="0.3">
      <c r="A117" s="138"/>
      <c r="B117" s="138"/>
      <c r="C117" s="138"/>
      <c r="D117" s="138"/>
    </row>
    <row r="118" spans="1:4" x14ac:dyDescent="0.3">
      <c r="A118" s="138"/>
      <c r="B118" s="138"/>
      <c r="C118" s="138"/>
      <c r="D118" s="138"/>
    </row>
    <row r="119" spans="1:4" x14ac:dyDescent="0.3">
      <c r="A119" s="138"/>
      <c r="B119" s="138"/>
      <c r="C119" s="138"/>
      <c r="D119" s="138"/>
    </row>
    <row r="120" spans="1:4" x14ac:dyDescent="0.3">
      <c r="A120" s="138"/>
      <c r="B120" s="138"/>
      <c r="C120" s="138"/>
      <c r="D120" s="138"/>
    </row>
    <row r="121" spans="1:4" x14ac:dyDescent="0.3">
      <c r="A121" s="138"/>
      <c r="B121" s="138"/>
      <c r="C121" s="138"/>
      <c r="D121" s="138"/>
    </row>
    <row r="122" spans="1:4" x14ac:dyDescent="0.3">
      <c r="A122" s="138"/>
      <c r="B122" s="138"/>
      <c r="C122" s="138"/>
      <c r="D122" s="138"/>
    </row>
    <row r="123" spans="1:4" x14ac:dyDescent="0.3">
      <c r="A123" s="138"/>
      <c r="B123" s="138"/>
      <c r="C123" s="138"/>
      <c r="D123" s="138"/>
    </row>
    <row r="124" spans="1:4" x14ac:dyDescent="0.3">
      <c r="A124" s="138"/>
      <c r="B124" s="138"/>
      <c r="C124" s="138"/>
      <c r="D124" s="138"/>
    </row>
    <row r="125" spans="1:4" x14ac:dyDescent="0.3">
      <c r="A125" s="138"/>
      <c r="B125" s="138"/>
      <c r="C125" s="138"/>
      <c r="D125" s="138"/>
    </row>
    <row r="126" spans="1:4" x14ac:dyDescent="0.3">
      <c r="A126" s="138"/>
      <c r="B126" s="138"/>
      <c r="C126" s="138"/>
      <c r="D126" s="138"/>
    </row>
    <row r="127" spans="1:4" x14ac:dyDescent="0.3">
      <c r="A127" s="138"/>
      <c r="B127" s="138"/>
      <c r="C127" s="138"/>
      <c r="D127" s="138"/>
    </row>
    <row r="128" spans="1:4" x14ac:dyDescent="0.3">
      <c r="A128" s="138"/>
      <c r="B128" s="138"/>
      <c r="C128" s="138"/>
      <c r="D128" s="138"/>
    </row>
    <row r="129" spans="1:4" x14ac:dyDescent="0.3">
      <c r="A129" s="138"/>
      <c r="B129" s="138"/>
      <c r="C129" s="138"/>
      <c r="D129" s="138"/>
    </row>
    <row r="130" spans="1:4" x14ac:dyDescent="0.3">
      <c r="A130" s="138"/>
      <c r="B130" s="138"/>
      <c r="C130" s="138"/>
      <c r="D130" s="138"/>
    </row>
    <row r="131" spans="1:4" x14ac:dyDescent="0.3">
      <c r="A131" s="138"/>
      <c r="B131" s="138"/>
      <c r="C131" s="138"/>
      <c r="D131" s="138"/>
    </row>
    <row r="132" spans="1:4" x14ac:dyDescent="0.3">
      <c r="A132" s="138"/>
      <c r="B132" s="138"/>
      <c r="C132" s="138"/>
      <c r="D132" s="138"/>
    </row>
    <row r="133" spans="1:4" x14ac:dyDescent="0.3">
      <c r="A133" s="138"/>
      <c r="B133" s="138"/>
      <c r="C133" s="138"/>
      <c r="D133" s="138"/>
    </row>
    <row r="134" spans="1:4" x14ac:dyDescent="0.3">
      <c r="A134" s="138"/>
      <c r="B134" s="138"/>
      <c r="C134" s="138"/>
      <c r="D134" s="138"/>
    </row>
    <row r="135" spans="1:4" x14ac:dyDescent="0.3">
      <c r="A135" s="138"/>
      <c r="B135" s="138"/>
      <c r="C135" s="138"/>
      <c r="D135" s="138"/>
    </row>
    <row r="136" spans="1:4" x14ac:dyDescent="0.3">
      <c r="A136" s="138"/>
      <c r="B136" s="138"/>
      <c r="C136" s="138"/>
      <c r="D136" s="138"/>
    </row>
    <row r="137" spans="1:4" x14ac:dyDescent="0.3">
      <c r="A137" s="138"/>
      <c r="B137" s="138"/>
      <c r="C137" s="138"/>
      <c r="D137" s="138"/>
    </row>
    <row r="138" spans="1:4" x14ac:dyDescent="0.3">
      <c r="A138" s="138"/>
      <c r="B138" s="138"/>
      <c r="C138" s="138"/>
      <c r="D138" s="138"/>
    </row>
    <row r="139" spans="1:4" x14ac:dyDescent="0.3">
      <c r="A139" s="138"/>
      <c r="B139" s="138"/>
      <c r="C139" s="138"/>
      <c r="D139" s="138"/>
    </row>
    <row r="140" spans="1:4" x14ac:dyDescent="0.3">
      <c r="A140" s="138"/>
      <c r="B140" s="138"/>
      <c r="C140" s="138"/>
      <c r="D140" s="138"/>
    </row>
    <row r="141" spans="1:4" x14ac:dyDescent="0.3">
      <c r="A141" s="138"/>
      <c r="B141" s="138"/>
      <c r="C141" s="138"/>
      <c r="D141" s="138"/>
    </row>
    <row r="142" spans="1:4" x14ac:dyDescent="0.3">
      <c r="A142" s="138"/>
      <c r="B142" s="138"/>
      <c r="C142" s="138"/>
      <c r="D142" s="138"/>
    </row>
    <row r="143" spans="1:4" x14ac:dyDescent="0.3">
      <c r="A143" s="138"/>
      <c r="B143" s="138"/>
      <c r="C143" s="138"/>
      <c r="D143" s="138"/>
    </row>
    <row r="144" spans="1:4" x14ac:dyDescent="0.3">
      <c r="A144" s="138"/>
      <c r="B144" s="138"/>
      <c r="C144" s="138"/>
      <c r="D144" s="138"/>
    </row>
    <row r="145" spans="1:4" x14ac:dyDescent="0.3">
      <c r="A145" s="138"/>
      <c r="B145" s="138"/>
      <c r="C145" s="138"/>
      <c r="D145" s="138"/>
    </row>
    <row r="146" spans="1:4" x14ac:dyDescent="0.3">
      <c r="A146" s="138"/>
      <c r="B146" s="138"/>
      <c r="C146" s="138"/>
      <c r="D146" s="138"/>
    </row>
    <row r="147" spans="1:4" x14ac:dyDescent="0.3">
      <c r="A147" s="138"/>
      <c r="B147" s="138"/>
      <c r="C147" s="138"/>
      <c r="D147" s="138"/>
    </row>
    <row r="148" spans="1:4" x14ac:dyDescent="0.3">
      <c r="A148" s="138"/>
      <c r="B148" s="138"/>
      <c r="C148" s="138"/>
      <c r="D148" s="138"/>
    </row>
    <row r="149" spans="1:4" x14ac:dyDescent="0.3">
      <c r="A149" s="138"/>
      <c r="B149" s="138"/>
      <c r="C149" s="138"/>
      <c r="D149" s="138"/>
    </row>
    <row r="150" spans="1:4" x14ac:dyDescent="0.3">
      <c r="A150" s="138"/>
      <c r="B150" s="138"/>
      <c r="C150" s="138"/>
      <c r="D150" s="138"/>
    </row>
    <row r="151" spans="1:4" x14ac:dyDescent="0.3">
      <c r="A151" s="138"/>
      <c r="B151" s="138"/>
      <c r="C151" s="138"/>
      <c r="D151" s="138"/>
    </row>
    <row r="152" spans="1:4" x14ac:dyDescent="0.3">
      <c r="A152" s="138"/>
      <c r="B152" s="138"/>
      <c r="C152" s="138"/>
      <c r="D152" s="138"/>
    </row>
    <row r="153" spans="1:4" x14ac:dyDescent="0.3">
      <c r="A153" s="138"/>
      <c r="B153" s="138"/>
      <c r="C153" s="138"/>
      <c r="D153" s="138"/>
    </row>
    <row r="154" spans="1:4" x14ac:dyDescent="0.3">
      <c r="A154" s="138"/>
      <c r="B154" s="138"/>
      <c r="C154" s="138"/>
      <c r="D154" s="138"/>
    </row>
    <row r="155" spans="1:4" x14ac:dyDescent="0.3">
      <c r="A155" s="138"/>
      <c r="B155" s="138"/>
      <c r="C155" s="138"/>
      <c r="D155" s="138"/>
    </row>
    <row r="156" spans="1:4" x14ac:dyDescent="0.3">
      <c r="A156" s="138"/>
      <c r="B156" s="138"/>
      <c r="C156" s="138"/>
      <c r="D156" s="138"/>
    </row>
    <row r="157" spans="1:4" x14ac:dyDescent="0.3">
      <c r="A157" s="138"/>
      <c r="B157" s="138"/>
      <c r="C157" s="138"/>
      <c r="D157" s="138"/>
    </row>
    <row r="158" spans="1:4" x14ac:dyDescent="0.3">
      <c r="A158" s="138"/>
      <c r="B158" s="138"/>
      <c r="C158" s="138"/>
      <c r="D158" s="138"/>
    </row>
    <row r="159" spans="1:4" x14ac:dyDescent="0.3">
      <c r="A159" s="138"/>
      <c r="B159" s="138"/>
      <c r="C159" s="138"/>
      <c r="D159" s="138"/>
    </row>
    <row r="160" spans="1:4" x14ac:dyDescent="0.3">
      <c r="A160" s="138"/>
      <c r="B160" s="138"/>
      <c r="C160" s="138"/>
      <c r="D160" s="138"/>
    </row>
    <row r="161" spans="1:4" x14ac:dyDescent="0.3">
      <c r="A161" s="138"/>
      <c r="B161" s="138"/>
      <c r="C161" s="138"/>
      <c r="D161" s="138"/>
    </row>
    <row r="162" spans="1:4" x14ac:dyDescent="0.3">
      <c r="A162" s="138"/>
      <c r="B162" s="138"/>
      <c r="C162" s="138"/>
      <c r="D162" s="138"/>
    </row>
    <row r="163" spans="1:4" x14ac:dyDescent="0.3">
      <c r="A163" s="138"/>
      <c r="B163" s="138"/>
      <c r="C163" s="138"/>
      <c r="D163" s="138"/>
    </row>
    <row r="164" spans="1:4" x14ac:dyDescent="0.3">
      <c r="A164" s="138"/>
      <c r="B164" s="138"/>
      <c r="C164" s="138"/>
      <c r="D164" s="138"/>
    </row>
  </sheetData>
  <mergeCells count="109">
    <mergeCell ref="DM1:DQ1"/>
    <mergeCell ref="DR1:DR5"/>
    <mergeCell ref="DC2:DG2"/>
    <mergeCell ref="DH2:DL2"/>
    <mergeCell ref="DM2:DN2"/>
    <mergeCell ref="DP2:DQ2"/>
    <mergeCell ref="DM3:DM5"/>
    <mergeCell ref="DN3:DN5"/>
    <mergeCell ref="DO3:DO5"/>
    <mergeCell ref="DP3:DP5"/>
    <mergeCell ref="DQ3:DQ5"/>
    <mergeCell ref="DC1:DG1"/>
    <mergeCell ref="DH1:DL1"/>
    <mergeCell ref="D54:F54"/>
    <mergeCell ref="D55:F55"/>
    <mergeCell ref="D48:F48"/>
    <mergeCell ref="D49:F49"/>
    <mergeCell ref="D50:F50"/>
    <mergeCell ref="D51:F51"/>
    <mergeCell ref="D52:F52"/>
    <mergeCell ref="D53:F53"/>
    <mergeCell ref="D42:F42"/>
    <mergeCell ref="D43:F43"/>
    <mergeCell ref="D44:F44"/>
    <mergeCell ref="D45:F45"/>
    <mergeCell ref="D46:F46"/>
    <mergeCell ref="D47:F47"/>
    <mergeCell ref="D36:F36"/>
    <mergeCell ref="D37:F37"/>
    <mergeCell ref="D38:F38"/>
    <mergeCell ref="D39:F39"/>
    <mergeCell ref="D40:F40"/>
    <mergeCell ref="D41:F41"/>
    <mergeCell ref="D35:F35"/>
    <mergeCell ref="D24:F24"/>
    <mergeCell ref="D25:F25"/>
    <mergeCell ref="D26:F26"/>
    <mergeCell ref="D27:F27"/>
    <mergeCell ref="D28:F28"/>
    <mergeCell ref="D29:F29"/>
    <mergeCell ref="D30:F30"/>
    <mergeCell ref="D31:F31"/>
    <mergeCell ref="D32:F32"/>
    <mergeCell ref="D33:F33"/>
    <mergeCell ref="D34:F34"/>
    <mergeCell ref="D23:F23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7:F7"/>
    <mergeCell ref="D8:F8"/>
    <mergeCell ref="D9:F9"/>
    <mergeCell ref="D10:F10"/>
    <mergeCell ref="D11:F11"/>
    <mergeCell ref="BJ2:BN2"/>
    <mergeCell ref="BO2:BS2"/>
    <mergeCell ref="BT2:BX2"/>
    <mergeCell ref="BY2:CC2"/>
    <mergeCell ref="D6:F6"/>
    <mergeCell ref="AF2:AJ2"/>
    <mergeCell ref="AK2:AO2"/>
    <mergeCell ref="AP2:AT2"/>
    <mergeCell ref="A1:B1"/>
    <mergeCell ref="C1:F1"/>
    <mergeCell ref="AU2:AY2"/>
    <mergeCell ref="AZ2:BD2"/>
    <mergeCell ref="BE2:BI2"/>
    <mergeCell ref="G1:K1"/>
    <mergeCell ref="L1:P1"/>
    <mergeCell ref="Q1:U1"/>
    <mergeCell ref="A2:A5"/>
    <mergeCell ref="B2:B5"/>
    <mergeCell ref="C2:C5"/>
    <mergeCell ref="D2:D5"/>
    <mergeCell ref="G2:K2"/>
    <mergeCell ref="L2:P2"/>
    <mergeCell ref="Q2:U2"/>
    <mergeCell ref="V2:Z2"/>
    <mergeCell ref="AA2:AE2"/>
    <mergeCell ref="V1:Z1"/>
    <mergeCell ref="AA1:AE1"/>
    <mergeCell ref="AF1:AJ1"/>
    <mergeCell ref="AK1:AO1"/>
    <mergeCell ref="AP1:AT1"/>
    <mergeCell ref="AU1:AY1"/>
    <mergeCell ref="AZ1:BD1"/>
    <mergeCell ref="BE1:BI1"/>
    <mergeCell ref="CN2:CR2"/>
    <mergeCell ref="CS2:CW2"/>
    <mergeCell ref="CX2:DB2"/>
    <mergeCell ref="CI1:CM1"/>
    <mergeCell ref="CN1:CR1"/>
    <mergeCell ref="CS1:CW1"/>
    <mergeCell ref="CX1:DB1"/>
    <mergeCell ref="BJ1:BN1"/>
    <mergeCell ref="BO1:BS1"/>
    <mergeCell ref="BT1:BX1"/>
    <mergeCell ref="BY1:CC1"/>
    <mergeCell ref="CD1:CH1"/>
    <mergeCell ref="CD2:CH2"/>
    <mergeCell ref="CI2:CM2"/>
  </mergeCells>
  <conditionalFormatting sqref="G6:DB55">
    <cfRule type="containsText" dxfId="8" priority="7" operator="containsText" text="ข">
      <formula>NOT(ISERROR(SEARCH("ข",G6)))</formula>
    </cfRule>
    <cfRule type="containsText" dxfId="7" priority="8" operator="containsText" text="ล">
      <formula>NOT(ISERROR(SEARCH("ล",G6)))</formula>
    </cfRule>
    <cfRule type="containsText" dxfId="6" priority="9" operator="containsText" text="ป">
      <formula>NOT(ISERROR(SEARCH("ป",G6)))</formula>
    </cfRule>
  </conditionalFormatting>
  <conditionalFormatting sqref="DC6:DG55">
    <cfRule type="containsText" dxfId="5" priority="4" operator="containsText" text="ข">
      <formula>NOT(ISERROR(SEARCH("ข",DC6)))</formula>
    </cfRule>
    <cfRule type="containsText" dxfId="4" priority="5" operator="containsText" text="ล">
      <formula>NOT(ISERROR(SEARCH("ล",DC6)))</formula>
    </cfRule>
    <cfRule type="containsText" dxfId="3" priority="6" operator="containsText" text="ป">
      <formula>NOT(ISERROR(SEARCH("ป",DC6)))</formula>
    </cfRule>
  </conditionalFormatting>
  <conditionalFormatting sqref="DH6:DL55">
    <cfRule type="containsText" dxfId="2" priority="1" operator="containsText" text="ข">
      <formula>NOT(ISERROR(SEARCH("ข",DH6)))</formula>
    </cfRule>
    <cfRule type="containsText" dxfId="1" priority="2" operator="containsText" text="ล">
      <formula>NOT(ISERROR(SEARCH("ล",DH6)))</formula>
    </cfRule>
    <cfRule type="containsText" dxfId="0" priority="3" operator="containsText" text="ป">
      <formula>NOT(ISERROR(SEARCH("ป",DH6)))</formula>
    </cfRule>
  </conditionalFormatting>
  <dataValidations count="5">
    <dataValidation type="list" allowBlank="1" showInputMessage="1" showErrorMessage="1" sqref="DC983046:DL983095 DC65542:DL65591 DC131078:DL131127 DC196614:DL196663 DC262150:DL262199 DC327686:DL327735 DC393222:DL393271 DC458758:DL458807 DC524294:DL524343 DC589830:DL589879 DC655366:DL655415 DC720902:DL720951 DC786438:DL786487 DC851974:DL852023 DC917510:DL917559">
      <formula1>$DX$1:$DX$3</formula1>
    </dataValidation>
    <dataValidation type="list" allowBlank="1" showInputMessage="1" showErrorMessage="1" sqref="DC983044:DL983044 DC65540:DL65540 DC131076:DL131076 DC196612:DL196612 DC262148:DL262148 DC327684:DL327684 DC393220:DL393220 DC458756:DL458756 DC524292:DL524292 DC589828:DL589828 DC655364:DL655364 DC720900:DL720900 DC786436:DL786436 DC851972:DL851972 DC917508:DL917508">
      <formula1>$DV$1:$DV$31</formula1>
    </dataValidation>
    <dataValidation type="list" allowBlank="1" showInputMessage="1" showErrorMessage="1" sqref="DC983041:DL983041 DC65537:DL65537 DC131073:DL131073 DC196609:DL196609 DC262145:DL262145 DC327681:DL327681 DC393217:DL393217 DC458753:DL458753 DC524289:DL524289 DC589825:DL589825 DC655361:DL655361 DC720897:DL720897 DC786433:DL786433 DC851969:DL851969 DC917505:DL917505 G1:DL1">
      <formula1>$DU$1:$DU$22</formula1>
    </dataValidation>
    <dataValidation type="list" allowBlank="1" showInputMessage="1" showErrorMessage="1" sqref="DC983045:DL983045 DC65541:DL65541 DC131077:DL131077 DC196613:DL196613 DC262149:DL262149 DC327685:DL327685 DC393221:DL393221 DC458757:DL458757 DC524293:DL524293 DC589829:DL589829 DC655365:DL655365 DC720901:DL720901 DC786437:DL786437 DC851973:DL851973 DC917509:DL917509 WVO5:WZT5 JC5:NH5 SY5:XD5 ACU5:AGZ5 AMQ5:AQV5 AWM5:BAR5 BGI5:BKN5 BQE5:BUJ5 CAA5:CEF5 CJW5:COB5 CTS5:CXX5 DDO5:DHT5 DNK5:DRP5 DXG5:EBL5 EHC5:ELH5 EQY5:EVD5 FAU5:FEZ5 FKQ5:FOV5 FUM5:FYR5 GEI5:GIN5 GOE5:GSJ5 GYA5:HCF5 HHW5:HMB5 HRS5:HVX5 IBO5:IFT5 ILK5:IPP5 IVG5:IZL5 JFC5:JJH5 JOY5:JTD5 JYU5:KCZ5 KIQ5:KMV5 KSM5:KWR5 LCI5:LGN5 LME5:LQJ5 LWA5:MAF5 MFW5:MKB5 MPS5:MTX5 MZO5:NDT5 NJK5:NNP5 NTG5:NXL5 ODC5:OHH5 OMY5:ORD5 OWU5:PAZ5 PGQ5:PKV5 PQM5:PUR5 QAI5:QEN5 QKE5:QOJ5 QUA5:QYF5 RDW5:RIB5 RNS5:RRX5 RXO5:SBT5 SHK5:SLP5 SRG5:SVL5 TBC5:TFH5 TKY5:TPD5 TUU5:TYZ5 UEQ5:UIV5 UOM5:USR5 UYI5:VCN5 VIE5:VMJ5 VSA5:VWF5 WBW5:WGB5 WLS5:WPX5 G5:DL5">
      <formula1>$DW$1:$DW$111</formula1>
    </dataValidation>
    <dataValidation type="list" allowBlank="1" showInputMessage="1" showErrorMessage="1" sqref="G6:DL55">
      <formula1>$DX$1:$DX$5</formula1>
    </dataValidation>
  </dataValidations>
  <pageMargins left="0.31496062992125984" right="0.23622047244094491" top="0.27559055118110237" bottom="0.31496062992125984" header="0.19685039370078741" footer="0.15748031496062992"/>
  <pageSetup paperSize="5" scale="95" orientation="portrait" blackAndWhite="1" verticalDpi="0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E39"/>
  </sheetPr>
  <dimension ref="A1:H167"/>
  <sheetViews>
    <sheetView zoomScaleNormal="100" zoomScaleSheetLayoutView="100" workbookViewId="0">
      <pane xSplit="16" ySplit="8" topLeftCell="Q9" activePane="bottomRight" state="frozen"/>
      <selection pane="topRight" activeCell="Q1" sqref="Q1"/>
      <selection pane="bottomLeft" activeCell="A9" sqref="A9"/>
      <selection pane="bottomRight" sqref="A1:H1"/>
    </sheetView>
  </sheetViews>
  <sheetFormatPr defaultRowHeight="18.75" x14ac:dyDescent="0.25"/>
  <cols>
    <col min="1" max="1" width="6" style="133" customWidth="1"/>
    <col min="2" max="2" width="10.25" style="133" customWidth="1"/>
    <col min="3" max="3" width="15.25" style="133" hidden="1" customWidth="1"/>
    <col min="4" max="4" width="29" style="133" customWidth="1"/>
    <col min="5" max="6" width="10.5" style="131" customWidth="1"/>
    <col min="7" max="7" width="11.25" style="131" customWidth="1"/>
    <col min="8" max="8" width="10.75" style="131" customWidth="1"/>
    <col min="9" max="16384" width="9" style="119"/>
  </cols>
  <sheetData>
    <row r="1" spans="1:8" ht="23.25" x14ac:dyDescent="0.25">
      <c r="A1" s="627" t="str">
        <f>DATA!B3</f>
        <v>โรงเรียนมูลนิธิวัดปากบ่อ  เขตสวนหลวง  กรุงเทพมหานคร</v>
      </c>
      <c r="B1" s="627"/>
      <c r="C1" s="627"/>
      <c r="D1" s="627"/>
      <c r="E1" s="627"/>
      <c r="F1" s="627"/>
      <c r="G1" s="627"/>
      <c r="H1" s="627"/>
    </row>
    <row r="2" spans="1:8" x14ac:dyDescent="0.25">
      <c r="A2" s="628" t="str">
        <f>DATA!B4</f>
        <v>สำนักงานเขตพื้นที่การศึกษาประถมศึกษา กรุงเทพมหานคร</v>
      </c>
      <c r="B2" s="628"/>
      <c r="C2" s="628"/>
      <c r="D2" s="628"/>
      <c r="E2" s="628"/>
      <c r="F2" s="628"/>
      <c r="G2" s="628"/>
      <c r="H2" s="628"/>
    </row>
    <row r="3" spans="1:8" ht="24" customHeight="1" x14ac:dyDescent="0.25">
      <c r="A3" s="628" t="str">
        <f>DATA!A2&amp;"   "&amp;DATA!B9&amp;"   "&amp;DATA!B8&amp;"    "&amp;DATA!B5</f>
        <v>แบบบันทึกผลการเรียนประจำรายวิชา   ภาษาไทย   รหัสวิชา ท14101    ปีการศึกษา 2563</v>
      </c>
      <c r="B3" s="628"/>
      <c r="C3" s="628"/>
      <c r="D3" s="628"/>
      <c r="E3" s="628"/>
      <c r="F3" s="628"/>
      <c r="G3" s="628"/>
      <c r="H3" s="628"/>
    </row>
    <row r="4" spans="1:8" ht="24" customHeight="1" x14ac:dyDescent="0.25">
      <c r="A4" s="629" t="str">
        <f>DATA!B6</f>
        <v>ประถมศึกษาปีที่ ๔/๑</v>
      </c>
      <c r="B4" s="629"/>
      <c r="C4" s="629"/>
      <c r="D4" s="629"/>
      <c r="E4" s="626" t="str">
        <f>"ครูผู้สอน "&amp;DATA!B10</f>
        <v>ครูผู้สอน -</v>
      </c>
      <c r="F4" s="626"/>
      <c r="G4" s="626"/>
      <c r="H4" s="626"/>
    </row>
    <row r="5" spans="1:8" ht="14.25" customHeight="1" x14ac:dyDescent="0.25">
      <c r="A5" s="630" t="s">
        <v>2</v>
      </c>
      <c r="B5" s="632" t="s">
        <v>3</v>
      </c>
      <c r="C5" s="634" t="s">
        <v>4</v>
      </c>
      <c r="D5" s="634" t="s">
        <v>5</v>
      </c>
      <c r="E5" s="625" t="s">
        <v>17</v>
      </c>
      <c r="F5" s="625" t="s">
        <v>17</v>
      </c>
      <c r="G5" s="625" t="s">
        <v>22</v>
      </c>
      <c r="H5" s="625" t="s">
        <v>93</v>
      </c>
    </row>
    <row r="6" spans="1:8" ht="14.25" customHeight="1" x14ac:dyDescent="0.25">
      <c r="A6" s="631"/>
      <c r="B6" s="633"/>
      <c r="C6" s="635"/>
      <c r="D6" s="635"/>
      <c r="E6" s="625"/>
      <c r="F6" s="625"/>
      <c r="G6" s="625"/>
      <c r="H6" s="625"/>
    </row>
    <row r="7" spans="1:8" ht="14.25" customHeight="1" x14ac:dyDescent="0.25">
      <c r="A7" s="631"/>
      <c r="B7" s="633"/>
      <c r="C7" s="635"/>
      <c r="D7" s="635"/>
      <c r="E7" s="636" t="s">
        <v>84</v>
      </c>
      <c r="F7" s="636" t="s">
        <v>85</v>
      </c>
      <c r="G7" s="625" t="s">
        <v>17</v>
      </c>
      <c r="H7" s="625"/>
    </row>
    <row r="8" spans="1:8" ht="14.25" customHeight="1" x14ac:dyDescent="0.25">
      <c r="A8" s="631"/>
      <c r="B8" s="633"/>
      <c r="C8" s="635"/>
      <c r="D8" s="635"/>
      <c r="E8" s="636"/>
      <c r="F8" s="636"/>
      <c r="G8" s="625"/>
      <c r="H8" s="625"/>
    </row>
    <row r="9" spans="1:8" ht="19.5" customHeight="1" x14ac:dyDescent="0.3">
      <c r="A9" s="336">
        <f>IF(ISBLANK(ปพ.5!A6)," ",ปพ.5!A6)</f>
        <v>1</v>
      </c>
      <c r="B9" s="120" t="str">
        <f>IF(ISBLANK(ปพ.5!B6)," ",ปพ.5!B6)</f>
        <v>6665</v>
      </c>
      <c r="C9" s="120" t="str">
        <f>IF(ISBLANK(ปพ.5!C6)," ",ปพ.5!C6)</f>
        <v>1103101145462</v>
      </c>
      <c r="D9" s="121" t="str">
        <f>IF(ISBLANK(ปพ.5!D6)," ",ปพ.5!D6)</f>
        <v>เด็กชาย คมกฤษ  วิยะรส</v>
      </c>
      <c r="E9" s="122" t="e">
        <f>ปพ.5!AI6</f>
        <v>#DIV/0!</v>
      </c>
      <c r="F9" s="122">
        <f>ปพ.5!AJ6</f>
        <v>20</v>
      </c>
      <c r="G9" s="122" t="e">
        <f>ปพ.5!AK6</f>
        <v>#DIV/0!</v>
      </c>
      <c r="H9" s="123" t="e">
        <f>ปพ.5!AL6</f>
        <v>#DIV/0!</v>
      </c>
    </row>
    <row r="10" spans="1:8" ht="19.5" customHeight="1" x14ac:dyDescent="0.3">
      <c r="A10" s="336">
        <f>IF(ISBLANK(ปพ.5!A7)," ",ปพ.5!A7)</f>
        <v>2</v>
      </c>
      <c r="B10" s="120" t="str">
        <f>IF(ISBLANK(ปพ.5!B7)," ",ปพ.5!B7)</f>
        <v>6666</v>
      </c>
      <c r="C10" s="124" t="s">
        <v>23</v>
      </c>
      <c r="D10" s="121" t="str">
        <f>IF(ISBLANK(ปพ.5!D7)," ",ปพ.5!D7)</f>
        <v>เด็กชาย จักรวาล  ชะรารัตน์</v>
      </c>
      <c r="E10" s="122" t="e">
        <f>ปพ.5!AI7</f>
        <v>#DIV/0!</v>
      </c>
      <c r="F10" s="122">
        <f>ปพ.5!AJ7</f>
        <v>19</v>
      </c>
      <c r="G10" s="122" t="e">
        <f>ปพ.5!AK7</f>
        <v>#DIV/0!</v>
      </c>
      <c r="H10" s="123" t="e">
        <f>ปพ.5!AL7</f>
        <v>#DIV/0!</v>
      </c>
    </row>
    <row r="11" spans="1:8" ht="19.5" customHeight="1" x14ac:dyDescent="0.3">
      <c r="A11" s="336">
        <f>IF(ISBLANK(ปพ.5!A8)," ",ปพ.5!A8)</f>
        <v>3</v>
      </c>
      <c r="B11" s="120" t="str">
        <f>IF(ISBLANK(ปพ.5!B8)," ",ปพ.5!B8)</f>
        <v>6668</v>
      </c>
      <c r="C11" s="124" t="s">
        <v>24</v>
      </c>
      <c r="D11" s="121" t="str">
        <f>IF(ISBLANK(ปพ.5!D8)," ",ปพ.5!D8)</f>
        <v>เด็กชาย ธนกฤต  เที่ยงตรงดี</v>
      </c>
      <c r="E11" s="122" t="e">
        <f>ปพ.5!AI8</f>
        <v>#DIV/0!</v>
      </c>
      <c r="F11" s="122">
        <f>ปพ.5!AJ8</f>
        <v>40</v>
      </c>
      <c r="G11" s="122" t="e">
        <f>ปพ.5!AK8</f>
        <v>#DIV/0!</v>
      </c>
      <c r="H11" s="123" t="e">
        <f>ปพ.5!AL8</f>
        <v>#DIV/0!</v>
      </c>
    </row>
    <row r="12" spans="1:8" ht="19.5" customHeight="1" x14ac:dyDescent="0.3">
      <c r="A12" s="336">
        <f>IF(ISBLANK(ปพ.5!A9)," ",ปพ.5!A9)</f>
        <v>4</v>
      </c>
      <c r="B12" s="120" t="str">
        <f>IF(ISBLANK(ปพ.5!B9)," ",ปพ.5!B9)</f>
        <v>6669</v>
      </c>
      <c r="C12" s="125" t="s">
        <v>25</v>
      </c>
      <c r="D12" s="121" t="str">
        <f>IF(ISBLANK(ปพ.5!D9)," ",ปพ.5!D9)</f>
        <v>เด็กชาย พชร  บุญสนอง</v>
      </c>
      <c r="E12" s="122" t="e">
        <f>ปพ.5!AI9</f>
        <v>#DIV/0!</v>
      </c>
      <c r="F12" s="122">
        <f>ปพ.5!AJ9</f>
        <v>40</v>
      </c>
      <c r="G12" s="122" t="e">
        <f>ปพ.5!AK9</f>
        <v>#DIV/0!</v>
      </c>
      <c r="H12" s="123" t="e">
        <f>ปพ.5!AL9</f>
        <v>#DIV/0!</v>
      </c>
    </row>
    <row r="13" spans="1:8" ht="19.5" customHeight="1" x14ac:dyDescent="0.3">
      <c r="A13" s="336">
        <f>IF(ISBLANK(ปพ.5!A10)," ",ปพ.5!A10)</f>
        <v>5</v>
      </c>
      <c r="B13" s="120" t="str">
        <f>IF(ISBLANK(ปพ.5!B10)," ",ปพ.5!B10)</f>
        <v>6670</v>
      </c>
      <c r="C13" s="125" t="s">
        <v>26</v>
      </c>
      <c r="D13" s="121" t="str">
        <f>IF(ISBLANK(ปพ.5!D10)," ",ปพ.5!D10)</f>
        <v>เด็กชาย รัชชากร  ผลนา</v>
      </c>
      <c r="E13" s="122" t="e">
        <f>ปพ.5!AI10</f>
        <v>#DIV/0!</v>
      </c>
      <c r="F13" s="122">
        <f>ปพ.5!AJ10</f>
        <v>40</v>
      </c>
      <c r="G13" s="122" t="e">
        <f>ปพ.5!AK10</f>
        <v>#DIV/0!</v>
      </c>
      <c r="H13" s="123" t="e">
        <f>ปพ.5!AL10</f>
        <v>#DIV/0!</v>
      </c>
    </row>
    <row r="14" spans="1:8" ht="19.5" customHeight="1" x14ac:dyDescent="0.3">
      <c r="A14" s="336">
        <f>IF(ISBLANK(ปพ.5!A11)," ",ปพ.5!A11)</f>
        <v>6</v>
      </c>
      <c r="B14" s="120" t="str">
        <f>IF(ISBLANK(ปพ.5!B11)," ",ปพ.5!B11)</f>
        <v>6678</v>
      </c>
      <c r="C14" s="124" t="s">
        <v>27</v>
      </c>
      <c r="D14" s="121" t="str">
        <f>IF(ISBLANK(ปพ.5!D11)," ",ปพ.5!D11)</f>
        <v>เด็กชาย อาทิตย์  ก้านมะยุระ</v>
      </c>
      <c r="E14" s="122" t="e">
        <f>ปพ.5!AI11</f>
        <v>#DIV/0!</v>
      </c>
      <c r="F14" s="122">
        <f>ปพ.5!AJ11</f>
        <v>40</v>
      </c>
      <c r="G14" s="122" t="e">
        <f>ปพ.5!AK11</f>
        <v>#DIV/0!</v>
      </c>
      <c r="H14" s="123" t="e">
        <f>ปพ.5!AL11</f>
        <v>#DIV/0!</v>
      </c>
    </row>
    <row r="15" spans="1:8" ht="19.5" customHeight="1" x14ac:dyDescent="0.3">
      <c r="A15" s="336">
        <f>IF(ISBLANK(ปพ.5!A12)," ",ปพ.5!A12)</f>
        <v>7</v>
      </c>
      <c r="B15" s="120" t="str">
        <f>IF(ISBLANK(ปพ.5!B12)," ",ปพ.5!B12)</f>
        <v>6684</v>
      </c>
      <c r="C15" s="124" t="s">
        <v>28</v>
      </c>
      <c r="D15" s="121" t="str">
        <f>IF(ISBLANK(ปพ.5!D12)," ",ปพ.5!D12)</f>
        <v>เด็กหญิง จิรัชญา  เมฆหมอก</v>
      </c>
      <c r="E15" s="122" t="e">
        <f>ปพ.5!AI12</f>
        <v>#DIV/0!</v>
      </c>
      <c r="F15" s="122">
        <f>ปพ.5!AJ12</f>
        <v>40</v>
      </c>
      <c r="G15" s="122" t="e">
        <f>ปพ.5!AK12</f>
        <v>#DIV/0!</v>
      </c>
      <c r="H15" s="123" t="e">
        <f>ปพ.5!AL12</f>
        <v>#DIV/0!</v>
      </c>
    </row>
    <row r="16" spans="1:8" ht="19.5" customHeight="1" x14ac:dyDescent="0.3">
      <c r="A16" s="336">
        <f>IF(ISBLANK(ปพ.5!A13)," ",ปพ.5!A13)</f>
        <v>8</v>
      </c>
      <c r="B16" s="120" t="str">
        <f>IF(ISBLANK(ปพ.5!B13)," ",ปพ.5!B13)</f>
        <v>6691</v>
      </c>
      <c r="C16" s="124" t="s">
        <v>29</v>
      </c>
      <c r="D16" s="121" t="str">
        <f>IF(ISBLANK(ปพ.5!D13)," ",ปพ.5!D13)</f>
        <v>เด็กหญิง สิรินทรา  สถิตถาวรกุล</v>
      </c>
      <c r="E16" s="122" t="e">
        <f>ปพ.5!AI13</f>
        <v>#DIV/0!</v>
      </c>
      <c r="F16" s="122">
        <f>ปพ.5!AJ13</f>
        <v>40</v>
      </c>
      <c r="G16" s="122" t="e">
        <f>ปพ.5!AK13</f>
        <v>#DIV/0!</v>
      </c>
      <c r="H16" s="123" t="e">
        <f>ปพ.5!AL13</f>
        <v>#DIV/0!</v>
      </c>
    </row>
    <row r="17" spans="1:8" ht="19.5" customHeight="1" x14ac:dyDescent="0.3">
      <c r="A17" s="336">
        <f>IF(ISBLANK(ปพ.5!A14)," ",ปพ.5!A14)</f>
        <v>9</v>
      </c>
      <c r="B17" s="120" t="str">
        <f>IF(ISBLANK(ปพ.5!B14)," ",ปพ.5!B14)</f>
        <v>6692</v>
      </c>
      <c r="C17" s="124" t="s">
        <v>30</v>
      </c>
      <c r="D17" s="121" t="str">
        <f>IF(ISBLANK(ปพ.5!D14)," ",ปพ.5!D14)</f>
        <v>เด็กชาย ก้องเกียรติ  เจริญพร</v>
      </c>
      <c r="E17" s="122" t="e">
        <f>ปพ.5!AI14</f>
        <v>#DIV/0!</v>
      </c>
      <c r="F17" s="122">
        <f>ปพ.5!AJ14</f>
        <v>40</v>
      </c>
      <c r="G17" s="122" t="e">
        <f>ปพ.5!AK14</f>
        <v>#DIV/0!</v>
      </c>
      <c r="H17" s="123" t="e">
        <f>ปพ.5!AL14</f>
        <v>#DIV/0!</v>
      </c>
    </row>
    <row r="18" spans="1:8" ht="19.5" customHeight="1" x14ac:dyDescent="0.3">
      <c r="A18" s="336">
        <f>IF(ISBLANK(ปพ.5!A15)," ",ปพ.5!A15)</f>
        <v>10</v>
      </c>
      <c r="B18" s="120" t="str">
        <f>IF(ISBLANK(ปพ.5!B15)," ",ปพ.5!B15)</f>
        <v>6703</v>
      </c>
      <c r="C18" s="124" t="s">
        <v>31</v>
      </c>
      <c r="D18" s="121" t="str">
        <f>IF(ISBLANK(ปพ.5!D15)," ",ปพ.5!D15)</f>
        <v>เด็กชาย ศิริชัย  ไวยัง</v>
      </c>
      <c r="E18" s="122" t="e">
        <f>ปพ.5!AI15</f>
        <v>#DIV/0!</v>
      </c>
      <c r="F18" s="122">
        <f>ปพ.5!AJ15</f>
        <v>40</v>
      </c>
      <c r="G18" s="122" t="e">
        <f>ปพ.5!AK15</f>
        <v>#DIV/0!</v>
      </c>
      <c r="H18" s="123" t="e">
        <f>ปพ.5!AL15</f>
        <v>#DIV/0!</v>
      </c>
    </row>
    <row r="19" spans="1:8" ht="19.5" customHeight="1" x14ac:dyDescent="0.3">
      <c r="A19" s="336">
        <f>IF(ISBLANK(ปพ.5!A16)," ",ปพ.5!A16)</f>
        <v>11</v>
      </c>
      <c r="B19" s="120" t="str">
        <f>IF(ISBLANK(ปพ.5!B16)," ",ปพ.5!B16)</f>
        <v>6704</v>
      </c>
      <c r="C19" s="124" t="s">
        <v>32</v>
      </c>
      <c r="D19" s="121" t="str">
        <f>IF(ISBLANK(ปพ.5!D16)," ",ปพ.5!D16)</f>
        <v>เด็กชาย ธนกฤต  ถนอมต่วน</v>
      </c>
      <c r="E19" s="122" t="e">
        <f>ปพ.5!AI16</f>
        <v>#DIV/0!</v>
      </c>
      <c r="F19" s="122">
        <f>ปพ.5!AJ16</f>
        <v>40</v>
      </c>
      <c r="G19" s="122" t="e">
        <f>ปพ.5!AK16</f>
        <v>#DIV/0!</v>
      </c>
      <c r="H19" s="123" t="e">
        <f>ปพ.5!AL16</f>
        <v>#DIV/0!</v>
      </c>
    </row>
    <row r="20" spans="1:8" ht="19.5" customHeight="1" x14ac:dyDescent="0.3">
      <c r="A20" s="336">
        <f>IF(ISBLANK(ปพ.5!A17)," ",ปพ.5!A17)</f>
        <v>12</v>
      </c>
      <c r="B20" s="120" t="str">
        <f>IF(ISBLANK(ปพ.5!B17)," ",ปพ.5!B17)</f>
        <v>6715</v>
      </c>
      <c r="C20" s="126">
        <v>1579900971314</v>
      </c>
      <c r="D20" s="121" t="str">
        <f>IF(ISBLANK(ปพ.5!D17)," ",ปพ.5!D17)</f>
        <v>เด็กหญิง เพ็ญพิชชา  สิงสูงเนิน</v>
      </c>
      <c r="E20" s="122" t="e">
        <f>ปพ.5!AI17</f>
        <v>#DIV/0!</v>
      </c>
      <c r="F20" s="122">
        <f>ปพ.5!AJ17</f>
        <v>40</v>
      </c>
      <c r="G20" s="122" t="e">
        <f>ปพ.5!AK17</f>
        <v>#DIV/0!</v>
      </c>
      <c r="H20" s="123" t="e">
        <f>ปพ.5!AL17</f>
        <v>#DIV/0!</v>
      </c>
    </row>
    <row r="21" spans="1:8" ht="19.5" customHeight="1" x14ac:dyDescent="0.3">
      <c r="A21" s="336">
        <f>IF(ISBLANK(ปพ.5!A18)," ",ปพ.5!A18)</f>
        <v>13</v>
      </c>
      <c r="B21" s="120" t="str">
        <f>IF(ISBLANK(ปพ.5!B18)," ",ปพ.5!B18)</f>
        <v>6727</v>
      </c>
      <c r="C21" s="127">
        <v>1579900976715</v>
      </c>
      <c r="D21" s="121" t="str">
        <f>IF(ISBLANK(ปพ.5!D18)," ",ปพ.5!D18)</f>
        <v>เด็กชาย พีรภัทร  พุทไธสง</v>
      </c>
      <c r="E21" s="122" t="e">
        <f>ปพ.5!AI18</f>
        <v>#DIV/0!</v>
      </c>
      <c r="F21" s="122">
        <f>ปพ.5!AJ18</f>
        <v>40</v>
      </c>
      <c r="G21" s="122" t="e">
        <f>ปพ.5!AK18</f>
        <v>#DIV/0!</v>
      </c>
      <c r="H21" s="123" t="e">
        <f>ปพ.5!AL18</f>
        <v>#DIV/0!</v>
      </c>
    </row>
    <row r="22" spans="1:8" ht="19.5" customHeight="1" x14ac:dyDescent="0.3">
      <c r="A22" s="336">
        <f>IF(ISBLANK(ปพ.5!A19)," ",ปพ.5!A19)</f>
        <v>14</v>
      </c>
      <c r="B22" s="120" t="str">
        <f>IF(ISBLANK(ปพ.5!B19)," ",ปพ.5!B19)</f>
        <v>6729</v>
      </c>
      <c r="C22" s="127">
        <v>1579900998409</v>
      </c>
      <c r="D22" s="121" t="str">
        <f>IF(ISBLANK(ปพ.5!D19)," ",ปพ.5!D19)</f>
        <v>เด็กชาย อติเทพ  ยาผ่า</v>
      </c>
      <c r="E22" s="122" t="e">
        <f>ปพ.5!AI19</f>
        <v>#DIV/0!</v>
      </c>
      <c r="F22" s="122">
        <f>ปพ.5!AJ19</f>
        <v>40</v>
      </c>
      <c r="G22" s="122" t="e">
        <f>ปพ.5!AK19</f>
        <v>#DIV/0!</v>
      </c>
      <c r="H22" s="123" t="e">
        <f>ปพ.5!AL19</f>
        <v>#DIV/0!</v>
      </c>
    </row>
    <row r="23" spans="1:8" ht="19.5" customHeight="1" x14ac:dyDescent="0.3">
      <c r="A23" s="336">
        <f>IF(ISBLANK(ปพ.5!A20)," ",ปพ.5!A20)</f>
        <v>15</v>
      </c>
      <c r="B23" s="120" t="str">
        <f>IF(ISBLANK(ปพ.5!B20)," ",ปพ.5!B20)</f>
        <v>6737</v>
      </c>
      <c r="C23" s="127">
        <v>1103703473531</v>
      </c>
      <c r="D23" s="121" t="str">
        <f>IF(ISBLANK(ปพ.5!D20)," ",ปพ.5!D20)</f>
        <v>เด็กหญิง มีนา  ศรีโอภาส</v>
      </c>
      <c r="E23" s="122" t="e">
        <f>ปพ.5!AI20</f>
        <v>#DIV/0!</v>
      </c>
      <c r="F23" s="122">
        <f>ปพ.5!AJ20</f>
        <v>40</v>
      </c>
      <c r="G23" s="122" t="e">
        <f>ปพ.5!AK20</f>
        <v>#DIV/0!</v>
      </c>
      <c r="H23" s="123" t="e">
        <f>ปพ.5!AL20</f>
        <v>#DIV/0!</v>
      </c>
    </row>
    <row r="24" spans="1:8" ht="19.5" customHeight="1" x14ac:dyDescent="0.3">
      <c r="A24" s="336">
        <f>IF(ISBLANK(ปพ.5!A21)," ",ปพ.5!A21)</f>
        <v>16</v>
      </c>
      <c r="B24" s="120" t="str">
        <f>IF(ISBLANK(ปพ.5!B21)," ",ปพ.5!B21)</f>
        <v>6744</v>
      </c>
      <c r="C24" s="128">
        <v>1579900993822</v>
      </c>
      <c r="D24" s="121" t="str">
        <f>IF(ISBLANK(ปพ.5!D21)," ",ปพ.5!D21)</f>
        <v>เด็กหญิง สุธิดา  มวยเก่ง</v>
      </c>
      <c r="E24" s="122" t="e">
        <f>ปพ.5!AI21</f>
        <v>#DIV/0!</v>
      </c>
      <c r="F24" s="122">
        <f>ปพ.5!AJ21</f>
        <v>40</v>
      </c>
      <c r="G24" s="122" t="e">
        <f>ปพ.5!AK21</f>
        <v>#DIV/0!</v>
      </c>
      <c r="H24" s="123" t="e">
        <f>ปพ.5!AL21</f>
        <v>#DIV/0!</v>
      </c>
    </row>
    <row r="25" spans="1:8" ht="19.5" customHeight="1" x14ac:dyDescent="0.3">
      <c r="A25" s="336">
        <f>IF(ISBLANK(ปพ.5!A22)," ",ปพ.5!A22)</f>
        <v>17</v>
      </c>
      <c r="B25" s="120" t="str">
        <f>IF(ISBLANK(ปพ.5!B22)," ",ปพ.5!B22)</f>
        <v>6748</v>
      </c>
      <c r="C25" s="124" t="s">
        <v>33</v>
      </c>
      <c r="D25" s="121" t="str">
        <f>IF(ISBLANK(ปพ.5!D22)," ",ปพ.5!D22)</f>
        <v>เด็กหญิง อภิญญา  ศรีมารินทร์</v>
      </c>
      <c r="E25" s="122" t="e">
        <f>ปพ.5!AI22</f>
        <v>#DIV/0!</v>
      </c>
      <c r="F25" s="122">
        <f>ปพ.5!AJ22</f>
        <v>40</v>
      </c>
      <c r="G25" s="122" t="e">
        <f>ปพ.5!AK22</f>
        <v>#DIV/0!</v>
      </c>
      <c r="H25" s="123" t="e">
        <f>ปพ.5!AL22</f>
        <v>#DIV/0!</v>
      </c>
    </row>
    <row r="26" spans="1:8" ht="19.5" customHeight="1" x14ac:dyDescent="0.3">
      <c r="A26" s="336">
        <f>IF(ISBLANK(ปพ.5!A23)," ",ปพ.5!A23)</f>
        <v>18</v>
      </c>
      <c r="B26" s="120" t="str">
        <f>IF(ISBLANK(ปพ.5!B23)," ",ปพ.5!B23)</f>
        <v>6749</v>
      </c>
      <c r="C26" s="124" t="s">
        <v>34</v>
      </c>
      <c r="D26" s="121" t="str">
        <f>IF(ISBLANK(ปพ.5!D23)," ",ปพ.5!D23)</f>
        <v>เด็กหญิง เบญจา  คงเฉลียว</v>
      </c>
      <c r="E26" s="122" t="e">
        <f>ปพ.5!AI23</f>
        <v>#DIV/0!</v>
      </c>
      <c r="F26" s="122">
        <f>ปพ.5!AJ23</f>
        <v>40</v>
      </c>
      <c r="G26" s="122" t="e">
        <f>ปพ.5!AK23</f>
        <v>#DIV/0!</v>
      </c>
      <c r="H26" s="123" t="e">
        <f>ปพ.5!AL23</f>
        <v>#DIV/0!</v>
      </c>
    </row>
    <row r="27" spans="1:8" ht="19.5" customHeight="1" x14ac:dyDescent="0.3">
      <c r="A27" s="336">
        <f>IF(ISBLANK(ปพ.5!A24)," ",ปพ.5!A24)</f>
        <v>19</v>
      </c>
      <c r="B27" s="120" t="str">
        <f>IF(ISBLANK(ปพ.5!B24)," ",ปพ.5!B24)</f>
        <v>6755</v>
      </c>
      <c r="C27" s="124" t="s">
        <v>35</v>
      </c>
      <c r="D27" s="121" t="str">
        <f>IF(ISBLANK(ปพ.5!D24)," ",ปพ.5!D24)</f>
        <v>เด็กชาย สมรรถ  ใจใส</v>
      </c>
      <c r="E27" s="122" t="e">
        <f>ปพ.5!AI24</f>
        <v>#DIV/0!</v>
      </c>
      <c r="F27" s="122">
        <f>ปพ.5!AJ24</f>
        <v>40</v>
      </c>
      <c r="G27" s="122" t="e">
        <f>ปพ.5!AK24</f>
        <v>#DIV/0!</v>
      </c>
      <c r="H27" s="123" t="e">
        <f>ปพ.5!AL24</f>
        <v>#DIV/0!</v>
      </c>
    </row>
    <row r="28" spans="1:8" ht="19.5" customHeight="1" x14ac:dyDescent="0.3">
      <c r="A28" s="336">
        <f>IF(ISBLANK(ปพ.5!A25)," ",ปพ.5!A25)</f>
        <v>20</v>
      </c>
      <c r="B28" s="120" t="str">
        <f>IF(ISBLANK(ปพ.5!B25)," ",ปพ.5!B25)</f>
        <v>6758</v>
      </c>
      <c r="C28" s="124" t="s">
        <v>36</v>
      </c>
      <c r="D28" s="121" t="str">
        <f>IF(ISBLANK(ปพ.5!D25)," ",ปพ.5!D25)</f>
        <v>เด็กชาย ธีรศิลป์  องค์ศิริศิลป์</v>
      </c>
      <c r="E28" s="122" t="e">
        <f>ปพ.5!AI25</f>
        <v>#DIV/0!</v>
      </c>
      <c r="F28" s="122">
        <f>ปพ.5!AJ25</f>
        <v>40</v>
      </c>
      <c r="G28" s="122" t="e">
        <f>ปพ.5!AK25</f>
        <v>#DIV/0!</v>
      </c>
      <c r="H28" s="123" t="e">
        <f>ปพ.5!AL25</f>
        <v>#DIV/0!</v>
      </c>
    </row>
    <row r="29" spans="1:8" ht="19.5" customHeight="1" x14ac:dyDescent="0.3">
      <c r="A29" s="336">
        <f>IF(ISBLANK(ปพ.5!A26)," ",ปพ.5!A26)</f>
        <v>21</v>
      </c>
      <c r="B29" s="120" t="str">
        <f>IF(ISBLANK(ปพ.5!B26)," ",ปพ.5!B26)</f>
        <v>6777</v>
      </c>
      <c r="C29" s="124" t="s">
        <v>37</v>
      </c>
      <c r="D29" s="121" t="str">
        <f>IF(ISBLANK(ปพ.5!D26)," ",ปพ.5!D26)</f>
        <v>เด็กหญิง สิริรักษ์  คำแสน</v>
      </c>
      <c r="E29" s="122" t="e">
        <f>ปพ.5!AI26</f>
        <v>#DIV/0!</v>
      </c>
      <c r="F29" s="122">
        <f>ปพ.5!AJ26</f>
        <v>40</v>
      </c>
      <c r="G29" s="122" t="e">
        <f>ปพ.5!AK26</f>
        <v>#DIV/0!</v>
      </c>
      <c r="H29" s="123" t="e">
        <f>ปพ.5!AL26</f>
        <v>#DIV/0!</v>
      </c>
    </row>
    <row r="30" spans="1:8" ht="19.5" customHeight="1" x14ac:dyDescent="0.3">
      <c r="A30" s="336">
        <f>IF(ISBLANK(ปพ.5!A27)," ",ปพ.5!A27)</f>
        <v>22</v>
      </c>
      <c r="B30" s="120" t="str">
        <f>IF(ISBLANK(ปพ.5!B27)," ",ปพ.5!B27)</f>
        <v>6788</v>
      </c>
      <c r="C30" s="124" t="s">
        <v>38</v>
      </c>
      <c r="D30" s="121" t="str">
        <f>IF(ISBLANK(ปพ.5!D27)," ",ปพ.5!D27)</f>
        <v>เด็กชาย รัชกฤต  ฐิรวุฒิกร</v>
      </c>
      <c r="E30" s="122" t="e">
        <f>ปพ.5!AI27</f>
        <v>#DIV/0!</v>
      </c>
      <c r="F30" s="122">
        <f>ปพ.5!AJ27</f>
        <v>0</v>
      </c>
      <c r="G30" s="122" t="e">
        <f>ปพ.5!AK27</f>
        <v>#DIV/0!</v>
      </c>
      <c r="H30" s="123" t="e">
        <f>ปพ.5!AL27</f>
        <v>#DIV/0!</v>
      </c>
    </row>
    <row r="31" spans="1:8" ht="19.5" customHeight="1" x14ac:dyDescent="0.3">
      <c r="A31" s="336">
        <f>IF(ISBLANK(ปพ.5!A28)," ",ปพ.5!A28)</f>
        <v>23</v>
      </c>
      <c r="B31" s="120" t="str">
        <f>IF(ISBLANK(ปพ.5!B28)," ",ปพ.5!B28)</f>
        <v>6798</v>
      </c>
      <c r="C31" s="124" t="s">
        <v>39</v>
      </c>
      <c r="D31" s="121" t="str">
        <f>IF(ISBLANK(ปพ.5!D28)," ",ปพ.5!D28)</f>
        <v>เด็กหญิง ธนาภา  มิ่งเมือง</v>
      </c>
      <c r="E31" s="122" t="e">
        <f>ปพ.5!AI28</f>
        <v>#DIV/0!</v>
      </c>
      <c r="F31" s="122">
        <f>ปพ.5!AJ28</f>
        <v>0</v>
      </c>
      <c r="G31" s="122" t="e">
        <f>ปพ.5!AK28</f>
        <v>#DIV/0!</v>
      </c>
      <c r="H31" s="123" t="e">
        <f>ปพ.5!AL28</f>
        <v>#DIV/0!</v>
      </c>
    </row>
    <row r="32" spans="1:8" ht="19.5" customHeight="1" x14ac:dyDescent="0.3">
      <c r="A32" s="336">
        <f>IF(ISBLANK(ปพ.5!A29)," ",ปพ.5!A29)</f>
        <v>24</v>
      </c>
      <c r="B32" s="120" t="str">
        <f>IF(ISBLANK(ปพ.5!B29)," ",ปพ.5!B29)</f>
        <v>6803</v>
      </c>
      <c r="C32" s="124" t="s">
        <v>40</v>
      </c>
      <c r="D32" s="121" t="str">
        <f>IF(ISBLANK(ปพ.5!D29)," ",ปพ.5!D29)</f>
        <v>เด็กหญิง เณฐฬฏาก์  จรูญศิริโรจน์</v>
      </c>
      <c r="E32" s="122" t="e">
        <f>ปพ.5!AI29</f>
        <v>#DIV/0!</v>
      </c>
      <c r="F32" s="122">
        <f>ปพ.5!AJ29</f>
        <v>0</v>
      </c>
      <c r="G32" s="122" t="e">
        <f>ปพ.5!AK29</f>
        <v>#DIV/0!</v>
      </c>
      <c r="H32" s="123" t="e">
        <f>ปพ.5!AL29</f>
        <v>#DIV/0!</v>
      </c>
    </row>
    <row r="33" spans="1:8" ht="19.5" customHeight="1" x14ac:dyDescent="0.3">
      <c r="A33" s="336">
        <f>IF(ISBLANK(ปพ.5!A30)," ",ปพ.5!A30)</f>
        <v>25</v>
      </c>
      <c r="B33" s="120" t="str">
        <f>IF(ISBLANK(ปพ.5!B30)," ",ปพ.5!B30)</f>
        <v>6863</v>
      </c>
      <c r="C33" s="124" t="s">
        <v>41</v>
      </c>
      <c r="D33" s="121" t="str">
        <f>IF(ISBLANK(ปพ.5!D30)," ",ปพ.5!D30)</f>
        <v>เด็กหญิง ศิริภัสสร  สิทธิประกรณ์</v>
      </c>
      <c r="E33" s="122" t="e">
        <f>ปพ.5!AI30</f>
        <v>#DIV/0!</v>
      </c>
      <c r="F33" s="122">
        <f>ปพ.5!AJ30</f>
        <v>0</v>
      </c>
      <c r="G33" s="122" t="e">
        <f>ปพ.5!AK30</f>
        <v>#DIV/0!</v>
      </c>
      <c r="H33" s="123" t="e">
        <f>ปพ.5!AL30</f>
        <v>#DIV/0!</v>
      </c>
    </row>
    <row r="34" spans="1:8" ht="19.5" customHeight="1" x14ac:dyDescent="0.3">
      <c r="A34" s="336">
        <f>IF(ISBLANK(ปพ.5!A31)," ",ปพ.5!A31)</f>
        <v>26</v>
      </c>
      <c r="B34" s="120" t="str">
        <f>IF(ISBLANK(ปพ.5!B31)," ",ปพ.5!B31)</f>
        <v>6867</v>
      </c>
      <c r="C34" s="124" t="s">
        <v>42</v>
      </c>
      <c r="D34" s="121" t="str">
        <f>IF(ISBLANK(ปพ.5!D31)," ",ปพ.5!D31)</f>
        <v>เด็กชาย จักรพล  ไพรพล</v>
      </c>
      <c r="E34" s="122" t="e">
        <f>ปพ.5!AI31</f>
        <v>#DIV/0!</v>
      </c>
      <c r="F34" s="122">
        <f>ปพ.5!AJ31</f>
        <v>0</v>
      </c>
      <c r="G34" s="122" t="e">
        <f>ปพ.5!AK31</f>
        <v>#DIV/0!</v>
      </c>
      <c r="H34" s="123" t="e">
        <f>ปพ.5!AL31</f>
        <v>#DIV/0!</v>
      </c>
    </row>
    <row r="35" spans="1:8" ht="19.5" customHeight="1" x14ac:dyDescent="0.3">
      <c r="A35" s="336">
        <f>IF(ISBLANK(ปพ.5!A32)," ",ปพ.5!A32)</f>
        <v>27</v>
      </c>
      <c r="B35" s="120" t="str">
        <f>IF(ISBLANK(ปพ.5!B32)," ",ปพ.5!B32)</f>
        <v>7011</v>
      </c>
      <c r="C35" s="124" t="s">
        <v>43</v>
      </c>
      <c r="D35" s="121" t="str">
        <f>IF(ISBLANK(ปพ.5!D32)," ",ปพ.5!D32)</f>
        <v>เด็กชาย นภัทร  พยัคกานน</v>
      </c>
      <c r="E35" s="122" t="e">
        <f>ปพ.5!AI32</f>
        <v>#DIV/0!</v>
      </c>
      <c r="F35" s="122">
        <f>ปพ.5!AJ32</f>
        <v>0</v>
      </c>
      <c r="G35" s="122" t="e">
        <f>ปพ.5!AK32</f>
        <v>#DIV/0!</v>
      </c>
      <c r="H35" s="123" t="e">
        <f>ปพ.5!AL32</f>
        <v>#DIV/0!</v>
      </c>
    </row>
    <row r="36" spans="1:8" ht="19.5" customHeight="1" x14ac:dyDescent="0.3">
      <c r="A36" s="336">
        <f>IF(ISBLANK(ปพ.5!A33)," ",ปพ.5!A33)</f>
        <v>28</v>
      </c>
      <c r="B36" s="120" t="str">
        <f>IF(ISBLANK(ปพ.5!B33)," ",ปพ.5!B33)</f>
        <v>7080</v>
      </c>
      <c r="C36" s="124" t="s">
        <v>44</v>
      </c>
      <c r="D36" s="121" t="str">
        <f>IF(ISBLANK(ปพ.5!D33)," ",ปพ.5!D33)</f>
        <v>เด็กชาย รัชชานนท์  ทรัพย์สนอง</v>
      </c>
      <c r="E36" s="122" t="e">
        <f>ปพ.5!AI33</f>
        <v>#DIV/0!</v>
      </c>
      <c r="F36" s="122">
        <f>ปพ.5!AJ33</f>
        <v>0</v>
      </c>
      <c r="G36" s="122" t="e">
        <f>ปพ.5!AK33</f>
        <v>#DIV/0!</v>
      </c>
      <c r="H36" s="123" t="e">
        <f>ปพ.5!AL33</f>
        <v>#DIV/0!</v>
      </c>
    </row>
    <row r="37" spans="1:8" ht="19.5" customHeight="1" x14ac:dyDescent="0.3">
      <c r="A37" s="336">
        <f>IF(ISBLANK(ปพ.5!A34)," ",ปพ.5!A34)</f>
        <v>29</v>
      </c>
      <c r="B37" s="120" t="str">
        <f>IF(ISBLANK(ปพ.5!B34)," ",ปพ.5!B34)</f>
        <v>7083</v>
      </c>
      <c r="C37" s="124" t="s">
        <v>45</v>
      </c>
      <c r="D37" s="121" t="str">
        <f>IF(ISBLANK(ปพ.5!D34)," ",ปพ.5!D34)</f>
        <v>เด็กหญิง หทัยกาญจม์  อิ่นแก้ว</v>
      </c>
      <c r="E37" s="122" t="e">
        <f>ปพ.5!AI34</f>
        <v>#DIV/0!</v>
      </c>
      <c r="F37" s="122">
        <f>ปพ.5!AJ34</f>
        <v>0</v>
      </c>
      <c r="G37" s="122" t="e">
        <f>ปพ.5!AK34</f>
        <v>#DIV/0!</v>
      </c>
      <c r="H37" s="123" t="e">
        <f>ปพ.5!AL34</f>
        <v>#DIV/0!</v>
      </c>
    </row>
    <row r="38" spans="1:8" ht="19.5" customHeight="1" x14ac:dyDescent="0.3">
      <c r="A38" s="336">
        <f>IF(ISBLANK(ปพ.5!A35)," ",ปพ.5!A35)</f>
        <v>30</v>
      </c>
      <c r="B38" s="120" t="str">
        <f>IF(ISBLANK(ปพ.5!B35)," ",ปพ.5!B35)</f>
        <v>7226</v>
      </c>
      <c r="C38" s="126">
        <v>1579900004665</v>
      </c>
      <c r="D38" s="121" t="str">
        <f>IF(ISBLANK(ปพ.5!D35)," ",ปพ.5!D35)</f>
        <v>เด็กชาย วีระยุทธ์  เนื้อทอง</v>
      </c>
      <c r="E38" s="122" t="e">
        <f>ปพ.5!AI35</f>
        <v>#DIV/0!</v>
      </c>
      <c r="F38" s="122">
        <f>ปพ.5!AJ35</f>
        <v>0</v>
      </c>
      <c r="G38" s="122" t="e">
        <f>ปพ.5!AK35</f>
        <v>#DIV/0!</v>
      </c>
      <c r="H38" s="123" t="e">
        <f>ปพ.5!AL35</f>
        <v>#DIV/0!</v>
      </c>
    </row>
    <row r="39" spans="1:8" ht="19.5" customHeight="1" x14ac:dyDescent="0.3">
      <c r="A39" s="336">
        <f>IF(ISBLANK(ปพ.5!A36)," ",ปพ.5!A36)</f>
        <v>31</v>
      </c>
      <c r="B39" s="120" t="str">
        <f>IF(ISBLANK(ปพ.5!B36)," ",ปพ.5!B36)</f>
        <v>7643</v>
      </c>
      <c r="C39" s="126" t="s">
        <v>46</v>
      </c>
      <c r="D39" s="121" t="str">
        <f>IF(ISBLANK(ปพ.5!D36)," ",ปพ.5!D36)</f>
        <v>เด็กหญิง ชัชชญา  แสงจุ้ยวงษ์</v>
      </c>
      <c r="E39" s="122" t="e">
        <f>ปพ.5!AI36</f>
        <v>#DIV/0!</v>
      </c>
      <c r="F39" s="122">
        <f>ปพ.5!AJ36</f>
        <v>0</v>
      </c>
      <c r="G39" s="122" t="e">
        <f>ปพ.5!AK36</f>
        <v>#DIV/0!</v>
      </c>
      <c r="H39" s="123" t="e">
        <f>ปพ.5!AL36</f>
        <v>#DIV/0!</v>
      </c>
    </row>
    <row r="40" spans="1:8" ht="19.5" customHeight="1" x14ac:dyDescent="0.3">
      <c r="A40" s="336">
        <f>IF(ISBLANK(ปพ.5!A37)," ",ปพ.5!A37)</f>
        <v>32</v>
      </c>
      <c r="B40" s="120" t="str">
        <f>IF(ISBLANK(ปพ.5!B37)," ",ปพ.5!B37)</f>
        <v>7770</v>
      </c>
      <c r="C40" s="129"/>
      <c r="D40" s="121" t="str">
        <f>IF(ISBLANK(ปพ.5!D37)," ",ปพ.5!D37)</f>
        <v>เด็กชาย ยศกร  แก้ววิจิตร</v>
      </c>
      <c r="E40" s="122" t="e">
        <f>ปพ.5!AI37</f>
        <v>#DIV/0!</v>
      </c>
      <c r="F40" s="122">
        <f>ปพ.5!AJ37</f>
        <v>0</v>
      </c>
      <c r="G40" s="122" t="e">
        <f>ปพ.5!AK37</f>
        <v>#DIV/0!</v>
      </c>
      <c r="H40" s="123" t="e">
        <f>ปพ.5!AL37</f>
        <v>#DIV/0!</v>
      </c>
    </row>
    <row r="41" spans="1:8" ht="19.5" customHeight="1" x14ac:dyDescent="0.3">
      <c r="A41" s="336">
        <f>IF(ISBLANK(ปพ.5!A38)," ",ปพ.5!A38)</f>
        <v>33</v>
      </c>
      <c r="B41" s="120" t="str">
        <f>IF(ISBLANK(ปพ.5!B38)," ",ปพ.5!B38)</f>
        <v xml:space="preserve"> </v>
      </c>
      <c r="C41" s="120"/>
      <c r="D41" s="121" t="str">
        <f>IF(ISBLANK(ปพ.5!D38)," ",ปพ.5!D38)</f>
        <v xml:space="preserve"> </v>
      </c>
      <c r="E41" s="122">
        <f>ปพ.5!AI38</f>
        <v>0</v>
      </c>
      <c r="F41" s="122">
        <f>ปพ.5!AJ38</f>
        <v>0</v>
      </c>
      <c r="G41" s="122" t="str">
        <f>ปพ.5!AK38</f>
        <v xml:space="preserve"> </v>
      </c>
      <c r="H41" s="123" t="str">
        <f>ปพ.5!AL38</f>
        <v xml:space="preserve"> </v>
      </c>
    </row>
    <row r="42" spans="1:8" ht="19.5" customHeight="1" x14ac:dyDescent="0.3">
      <c r="A42" s="336">
        <f>IF(ISBLANK(ปพ.5!A39)," ",ปพ.5!A39)</f>
        <v>34</v>
      </c>
      <c r="B42" s="120" t="str">
        <f>IF(ISBLANK(ปพ.5!B39)," ",ปพ.5!B39)</f>
        <v xml:space="preserve"> </v>
      </c>
      <c r="C42" s="120"/>
      <c r="D42" s="121" t="str">
        <f>IF(ISBLANK(ปพ.5!D39)," ",ปพ.5!D39)</f>
        <v xml:space="preserve"> </v>
      </c>
      <c r="E42" s="122">
        <f>ปพ.5!AI39</f>
        <v>0</v>
      </c>
      <c r="F42" s="122">
        <f>ปพ.5!AJ39</f>
        <v>0</v>
      </c>
      <c r="G42" s="122" t="str">
        <f>ปพ.5!AK39</f>
        <v xml:space="preserve"> </v>
      </c>
      <c r="H42" s="123" t="str">
        <f>ปพ.5!AL39</f>
        <v xml:space="preserve"> </v>
      </c>
    </row>
    <row r="43" spans="1:8" ht="19.5" customHeight="1" x14ac:dyDescent="0.3">
      <c r="A43" s="336">
        <f>IF(ISBLANK(ปพ.5!A40)," ",ปพ.5!A40)</f>
        <v>35</v>
      </c>
      <c r="B43" s="120" t="str">
        <f>IF(ISBLANK(ปพ.5!B40)," ",ปพ.5!B40)</f>
        <v xml:space="preserve"> </v>
      </c>
      <c r="C43" s="120"/>
      <c r="D43" s="121" t="str">
        <f>IF(ISBLANK(ปพ.5!D40)," ",ปพ.5!D40)</f>
        <v xml:space="preserve"> </v>
      </c>
      <c r="E43" s="122">
        <f>ปพ.5!AI40</f>
        <v>0</v>
      </c>
      <c r="F43" s="122">
        <f>ปพ.5!AJ40</f>
        <v>0</v>
      </c>
      <c r="G43" s="122" t="str">
        <f>ปพ.5!AK40</f>
        <v xml:space="preserve"> </v>
      </c>
      <c r="H43" s="123" t="str">
        <f>ปพ.5!AL40</f>
        <v xml:space="preserve"> </v>
      </c>
    </row>
    <row r="44" spans="1:8" ht="19.5" customHeight="1" x14ac:dyDescent="0.3">
      <c r="A44" s="336">
        <f>IF(ISBLANK(ปพ.5!A41)," ",ปพ.5!A41)</f>
        <v>36</v>
      </c>
      <c r="B44" s="120" t="str">
        <f>IF(ISBLANK(ปพ.5!B41)," ",ปพ.5!B41)</f>
        <v xml:space="preserve"> </v>
      </c>
      <c r="C44" s="120"/>
      <c r="D44" s="121" t="str">
        <f>IF(ISBLANK(ปพ.5!D41)," ",ปพ.5!D41)</f>
        <v xml:space="preserve"> </v>
      </c>
      <c r="E44" s="122">
        <f>ปพ.5!AI41</f>
        <v>0</v>
      </c>
      <c r="F44" s="122">
        <f>ปพ.5!AJ41</f>
        <v>0</v>
      </c>
      <c r="G44" s="122" t="str">
        <f>ปพ.5!AK41</f>
        <v xml:space="preserve"> </v>
      </c>
      <c r="H44" s="123" t="str">
        <f>ปพ.5!AL41</f>
        <v xml:space="preserve"> </v>
      </c>
    </row>
    <row r="45" spans="1:8" ht="19.5" customHeight="1" x14ac:dyDescent="0.3">
      <c r="A45" s="336">
        <f>IF(ISBLANK(ปพ.5!A42)," ",ปพ.5!A42)</f>
        <v>37</v>
      </c>
      <c r="B45" s="120" t="str">
        <f>IF(ISBLANK(ปพ.5!B42)," ",ปพ.5!B42)</f>
        <v xml:space="preserve"> </v>
      </c>
      <c r="C45" s="120"/>
      <c r="D45" s="121" t="str">
        <f>IF(ISBLANK(ปพ.5!D42)," ",ปพ.5!D42)</f>
        <v xml:space="preserve"> </v>
      </c>
      <c r="E45" s="122">
        <f>ปพ.5!AI42</f>
        <v>0</v>
      </c>
      <c r="F45" s="122">
        <f>ปพ.5!AJ42</f>
        <v>0</v>
      </c>
      <c r="G45" s="122" t="str">
        <f>ปพ.5!AK42</f>
        <v xml:space="preserve"> </v>
      </c>
      <c r="H45" s="123" t="str">
        <f>ปพ.5!AL42</f>
        <v xml:space="preserve"> </v>
      </c>
    </row>
    <row r="46" spans="1:8" ht="19.5" customHeight="1" x14ac:dyDescent="0.3">
      <c r="A46" s="336">
        <f>IF(ISBLANK(ปพ.5!A43)," ",ปพ.5!A43)</f>
        <v>38</v>
      </c>
      <c r="B46" s="120" t="str">
        <f>IF(ISBLANK(ปพ.5!B43)," ",ปพ.5!B43)</f>
        <v xml:space="preserve"> </v>
      </c>
      <c r="C46" s="120"/>
      <c r="D46" s="121" t="str">
        <f>IF(ISBLANK(ปพ.5!D43)," ",ปพ.5!D43)</f>
        <v xml:space="preserve"> </v>
      </c>
      <c r="E46" s="122">
        <f>ปพ.5!AI43</f>
        <v>0</v>
      </c>
      <c r="F46" s="122">
        <f>ปพ.5!AJ43</f>
        <v>0</v>
      </c>
      <c r="G46" s="122" t="str">
        <f>ปพ.5!AK43</f>
        <v xml:space="preserve"> </v>
      </c>
      <c r="H46" s="123" t="str">
        <f>ปพ.5!AL43</f>
        <v xml:space="preserve"> </v>
      </c>
    </row>
    <row r="47" spans="1:8" ht="19.5" customHeight="1" x14ac:dyDescent="0.3">
      <c r="A47" s="336">
        <f>IF(ISBLANK(ปพ.5!A44)," ",ปพ.5!A44)</f>
        <v>39</v>
      </c>
      <c r="B47" s="120" t="str">
        <f>IF(ISBLANK(ปพ.5!B44)," ",ปพ.5!B44)</f>
        <v xml:space="preserve"> </v>
      </c>
      <c r="C47" s="120"/>
      <c r="D47" s="121" t="str">
        <f>IF(ISBLANK(ปพ.5!D44)," ",ปพ.5!D44)</f>
        <v xml:space="preserve"> </v>
      </c>
      <c r="E47" s="122" t="str">
        <f>ปพ.5!AI44</f>
        <v xml:space="preserve"> </v>
      </c>
      <c r="F47" s="122" t="str">
        <f>ปพ.5!AJ44</f>
        <v xml:space="preserve"> </v>
      </c>
      <c r="G47" s="122" t="str">
        <f>ปพ.5!AK44</f>
        <v xml:space="preserve"> </v>
      </c>
      <c r="H47" s="123" t="str">
        <f>ปพ.5!AL44</f>
        <v xml:space="preserve"> </v>
      </c>
    </row>
    <row r="48" spans="1:8" ht="19.5" customHeight="1" x14ac:dyDescent="0.3">
      <c r="A48" s="336">
        <f>IF(ISBLANK(ปพ.5!A45)," ",ปพ.5!A45)</f>
        <v>40</v>
      </c>
      <c r="B48" s="120" t="str">
        <f>IF(ISBLANK(ปพ.5!B45)," ",ปพ.5!B45)</f>
        <v xml:space="preserve"> </v>
      </c>
      <c r="C48" s="120"/>
      <c r="D48" s="121" t="str">
        <f>IF(ISBLANK(ปพ.5!D45)," ",ปพ.5!D45)</f>
        <v xml:space="preserve"> </v>
      </c>
      <c r="E48" s="122" t="str">
        <f>ปพ.5!AI45</f>
        <v xml:space="preserve"> </v>
      </c>
      <c r="F48" s="122" t="str">
        <f>ปพ.5!AJ45</f>
        <v xml:space="preserve"> </v>
      </c>
      <c r="G48" s="122" t="str">
        <f>ปพ.5!AK45</f>
        <v xml:space="preserve"> </v>
      </c>
      <c r="H48" s="123" t="str">
        <f>ปพ.5!AL45</f>
        <v xml:space="preserve"> </v>
      </c>
    </row>
    <row r="49" spans="1:8" ht="19.5" customHeight="1" x14ac:dyDescent="0.3">
      <c r="A49" s="336">
        <f>IF(ISBLANK(ปพ.5!A46)," ",ปพ.5!A46)</f>
        <v>41</v>
      </c>
      <c r="B49" s="120" t="str">
        <f>IF(ISBLANK(ปพ.5!B46)," ",ปพ.5!B46)</f>
        <v xml:space="preserve"> </v>
      </c>
      <c r="C49" s="120"/>
      <c r="D49" s="121" t="str">
        <f>IF(ISBLANK(ปพ.5!D46)," ",ปพ.5!D46)</f>
        <v xml:space="preserve"> </v>
      </c>
      <c r="E49" s="122" t="str">
        <f>ปพ.5!AI46</f>
        <v xml:space="preserve"> </v>
      </c>
      <c r="F49" s="122" t="str">
        <f>ปพ.5!AJ46</f>
        <v xml:space="preserve"> </v>
      </c>
      <c r="G49" s="122" t="str">
        <f>ปพ.5!AK46</f>
        <v xml:space="preserve"> </v>
      </c>
      <c r="H49" s="123" t="str">
        <f>ปพ.5!AL46</f>
        <v xml:space="preserve"> </v>
      </c>
    </row>
    <row r="50" spans="1:8" ht="19.5" customHeight="1" x14ac:dyDescent="0.3">
      <c r="A50" s="336">
        <f>IF(ISBLANK(ปพ.5!A47)," ",ปพ.5!A47)</f>
        <v>42</v>
      </c>
      <c r="B50" s="120" t="str">
        <f>IF(ISBLANK(ปพ.5!B47)," ",ปพ.5!B47)</f>
        <v xml:space="preserve"> </v>
      </c>
      <c r="C50" s="120"/>
      <c r="D50" s="121" t="str">
        <f>IF(ISBLANK(ปพ.5!D47)," ",ปพ.5!D47)</f>
        <v xml:space="preserve"> </v>
      </c>
      <c r="E50" s="122" t="str">
        <f>ปพ.5!AI47</f>
        <v xml:space="preserve"> </v>
      </c>
      <c r="F50" s="122" t="str">
        <f>ปพ.5!AJ47</f>
        <v xml:space="preserve"> </v>
      </c>
      <c r="G50" s="122" t="str">
        <f>ปพ.5!AK47</f>
        <v xml:space="preserve"> </v>
      </c>
      <c r="H50" s="123" t="str">
        <f>ปพ.5!AL47</f>
        <v xml:space="preserve"> </v>
      </c>
    </row>
    <row r="51" spans="1:8" ht="19.5" customHeight="1" x14ac:dyDescent="0.3">
      <c r="A51" s="336">
        <f>IF(ISBLANK(ปพ.5!A48)," ",ปพ.5!A48)</f>
        <v>43</v>
      </c>
      <c r="B51" s="120" t="str">
        <f>IF(ISBLANK(ปพ.5!B48)," ",ปพ.5!B48)</f>
        <v xml:space="preserve"> </v>
      </c>
      <c r="C51" s="120"/>
      <c r="D51" s="121" t="str">
        <f>IF(ISBLANK(ปพ.5!D48)," ",ปพ.5!D48)</f>
        <v xml:space="preserve"> </v>
      </c>
      <c r="E51" s="122" t="str">
        <f>ปพ.5!AI48</f>
        <v xml:space="preserve"> </v>
      </c>
      <c r="F51" s="122" t="str">
        <f>ปพ.5!AJ48</f>
        <v xml:space="preserve"> </v>
      </c>
      <c r="G51" s="122" t="str">
        <f>ปพ.5!AK48</f>
        <v xml:space="preserve"> </v>
      </c>
      <c r="H51" s="123" t="str">
        <f>ปพ.5!AL48</f>
        <v xml:space="preserve"> </v>
      </c>
    </row>
    <row r="52" spans="1:8" ht="19.5" customHeight="1" x14ac:dyDescent="0.3">
      <c r="A52" s="336">
        <f>IF(ISBLANK(ปพ.5!A49)," ",ปพ.5!A49)</f>
        <v>44</v>
      </c>
      <c r="B52" s="120" t="str">
        <f>IF(ISBLANK(ปพ.5!B49)," ",ปพ.5!B49)</f>
        <v xml:space="preserve"> </v>
      </c>
      <c r="C52" s="120"/>
      <c r="D52" s="121" t="str">
        <f>IF(ISBLANK(ปพ.5!D49)," ",ปพ.5!D49)</f>
        <v xml:space="preserve"> </v>
      </c>
      <c r="E52" s="122" t="str">
        <f>ปพ.5!AI49</f>
        <v xml:space="preserve"> </v>
      </c>
      <c r="F52" s="122" t="str">
        <f>ปพ.5!AJ49</f>
        <v xml:space="preserve"> </v>
      </c>
      <c r="G52" s="122" t="str">
        <f>ปพ.5!AK49</f>
        <v xml:space="preserve"> </v>
      </c>
      <c r="H52" s="123" t="str">
        <f>ปพ.5!AL49</f>
        <v xml:space="preserve"> </v>
      </c>
    </row>
    <row r="53" spans="1:8" ht="19.5" customHeight="1" x14ac:dyDescent="0.3">
      <c r="A53" s="336">
        <f>IF(ISBLANK(ปพ.5!A50)," ",ปพ.5!A50)</f>
        <v>45</v>
      </c>
      <c r="B53" s="120" t="str">
        <f>IF(ISBLANK(ปพ.5!B50)," ",ปพ.5!B50)</f>
        <v xml:space="preserve"> </v>
      </c>
      <c r="C53" s="120"/>
      <c r="D53" s="121" t="str">
        <f>IF(ISBLANK(ปพ.5!D50)," ",ปพ.5!D50)</f>
        <v xml:space="preserve"> </v>
      </c>
      <c r="E53" s="122" t="str">
        <f>ปพ.5!AI50</f>
        <v xml:space="preserve"> </v>
      </c>
      <c r="F53" s="122" t="str">
        <f>ปพ.5!AJ50</f>
        <v xml:space="preserve"> </v>
      </c>
      <c r="G53" s="122" t="str">
        <f>ปพ.5!AK50</f>
        <v xml:space="preserve"> </v>
      </c>
      <c r="H53" s="123" t="str">
        <f>ปพ.5!AL50</f>
        <v xml:space="preserve"> </v>
      </c>
    </row>
    <row r="54" spans="1:8" ht="19.5" customHeight="1" x14ac:dyDescent="0.3">
      <c r="A54" s="336">
        <f>IF(ISBLANK(ปพ.5!A51)," ",ปพ.5!A51)</f>
        <v>46</v>
      </c>
      <c r="B54" s="120" t="str">
        <f>IF(ISBLANK(ปพ.5!B51)," ",ปพ.5!B51)</f>
        <v xml:space="preserve"> </v>
      </c>
      <c r="C54" s="120"/>
      <c r="D54" s="121" t="str">
        <f>IF(ISBLANK(ปพ.5!D51)," ",ปพ.5!D51)</f>
        <v xml:space="preserve"> </v>
      </c>
      <c r="E54" s="122" t="str">
        <f>ปพ.5!AI51</f>
        <v xml:space="preserve"> </v>
      </c>
      <c r="F54" s="122" t="str">
        <f>ปพ.5!AJ51</f>
        <v xml:space="preserve"> </v>
      </c>
      <c r="G54" s="122" t="str">
        <f>ปพ.5!AK51</f>
        <v xml:space="preserve"> </v>
      </c>
      <c r="H54" s="123" t="str">
        <f>ปพ.5!AL51</f>
        <v xml:space="preserve"> </v>
      </c>
    </row>
    <row r="55" spans="1:8" ht="19.5" customHeight="1" x14ac:dyDescent="0.3">
      <c r="A55" s="336">
        <f>IF(ISBLANK(ปพ.5!A52)," ",ปพ.5!A52)</f>
        <v>47</v>
      </c>
      <c r="B55" s="120" t="str">
        <f>IF(ISBLANK(ปพ.5!B52)," ",ปพ.5!B52)</f>
        <v xml:space="preserve"> </v>
      </c>
      <c r="C55" s="120"/>
      <c r="D55" s="121" t="str">
        <f>IF(ISBLANK(ปพ.5!D52)," ",ปพ.5!D52)</f>
        <v xml:space="preserve"> </v>
      </c>
      <c r="E55" s="122" t="str">
        <f>ปพ.5!AI52</f>
        <v xml:space="preserve"> </v>
      </c>
      <c r="F55" s="122" t="str">
        <f>ปพ.5!AJ52</f>
        <v xml:space="preserve"> </v>
      </c>
      <c r="G55" s="122" t="str">
        <f>ปพ.5!AK52</f>
        <v xml:space="preserve"> </v>
      </c>
      <c r="H55" s="123" t="str">
        <f>ปพ.5!AL52</f>
        <v xml:space="preserve"> </v>
      </c>
    </row>
    <row r="56" spans="1:8" ht="19.5" customHeight="1" x14ac:dyDescent="0.3">
      <c r="A56" s="336">
        <f>IF(ISBLANK(ปพ.5!A53)," ",ปพ.5!A53)</f>
        <v>48</v>
      </c>
      <c r="B56" s="120" t="str">
        <f>IF(ISBLANK(ปพ.5!B53)," ",ปพ.5!B53)</f>
        <v xml:space="preserve"> </v>
      </c>
      <c r="C56" s="120"/>
      <c r="D56" s="121" t="str">
        <f>IF(ISBLANK(ปพ.5!D53)," ",ปพ.5!D53)</f>
        <v xml:space="preserve"> </v>
      </c>
      <c r="E56" s="122" t="str">
        <f>ปพ.5!AI53</f>
        <v xml:space="preserve"> </v>
      </c>
      <c r="F56" s="122" t="str">
        <f>ปพ.5!AJ53</f>
        <v xml:space="preserve"> </v>
      </c>
      <c r="G56" s="122" t="str">
        <f>ปพ.5!AK53</f>
        <v xml:space="preserve"> </v>
      </c>
      <c r="H56" s="123" t="str">
        <f>ปพ.5!AL53</f>
        <v xml:space="preserve"> </v>
      </c>
    </row>
    <row r="57" spans="1:8" ht="19.5" customHeight="1" x14ac:dyDescent="0.3">
      <c r="A57" s="336">
        <f>IF(ISBLANK(ปพ.5!A54)," ",ปพ.5!A54)</f>
        <v>49</v>
      </c>
      <c r="B57" s="120" t="str">
        <f>IF(ISBLANK(ปพ.5!B54)," ",ปพ.5!B54)</f>
        <v xml:space="preserve"> </v>
      </c>
      <c r="C57" s="120"/>
      <c r="D57" s="121" t="str">
        <f>IF(ISBLANK(ปพ.5!D54)," ",ปพ.5!D54)</f>
        <v xml:space="preserve"> </v>
      </c>
      <c r="E57" s="122" t="str">
        <f>ปพ.5!AI54</f>
        <v xml:space="preserve"> </v>
      </c>
      <c r="F57" s="122" t="str">
        <f>ปพ.5!AJ54</f>
        <v xml:space="preserve"> </v>
      </c>
      <c r="G57" s="122" t="str">
        <f>ปพ.5!AK54</f>
        <v xml:space="preserve"> </v>
      </c>
      <c r="H57" s="123" t="str">
        <f>ปพ.5!AL54</f>
        <v xml:space="preserve"> </v>
      </c>
    </row>
    <row r="58" spans="1:8" ht="19.5" customHeight="1" x14ac:dyDescent="0.3">
      <c r="A58" s="336">
        <f>IF(ISBLANK(ปพ.5!A55)," ",ปพ.5!A55)</f>
        <v>50</v>
      </c>
      <c r="B58" s="120" t="str">
        <f>IF(ISBLANK(ปพ.5!B55)," ",ปพ.5!B55)</f>
        <v xml:space="preserve"> </v>
      </c>
      <c r="C58" s="120"/>
      <c r="D58" s="121" t="str">
        <f>IF(ISBLANK(ปพ.5!D55)," ",ปพ.5!D55)</f>
        <v xml:space="preserve"> </v>
      </c>
      <c r="E58" s="122" t="str">
        <f>ปพ.5!AI55</f>
        <v xml:space="preserve"> </v>
      </c>
      <c r="F58" s="122" t="str">
        <f>ปพ.5!AJ55</f>
        <v xml:space="preserve"> </v>
      </c>
      <c r="G58" s="122" t="str">
        <f>ปพ.5!AK55</f>
        <v xml:space="preserve"> </v>
      </c>
      <c r="H58" s="130" t="str">
        <f>ปพ.5!AL55</f>
        <v xml:space="preserve"> </v>
      </c>
    </row>
    <row r="59" spans="1:8" ht="20.25" x14ac:dyDescent="0.3">
      <c r="A59" s="337"/>
      <c r="B59" s="337"/>
      <c r="C59" s="338"/>
      <c r="D59" s="339" t="s">
        <v>109</v>
      </c>
      <c r="E59" s="340" t="e">
        <f>SUM(E9:E58)</f>
        <v>#DIV/0!</v>
      </c>
      <c r="F59" s="340">
        <f>SUM(F9:F58)</f>
        <v>799</v>
      </c>
      <c r="G59" s="340" t="e">
        <f>SUM(G9:G58)</f>
        <v>#DIV/0!</v>
      </c>
      <c r="H59" s="341"/>
    </row>
    <row r="60" spans="1:8" ht="20.25" x14ac:dyDescent="0.3">
      <c r="A60" s="337"/>
      <c r="B60" s="337"/>
      <c r="C60" s="338"/>
      <c r="D60" s="342" t="s">
        <v>51</v>
      </c>
      <c r="E60" s="354">
        <v>50</v>
      </c>
      <c r="F60" s="354">
        <v>50</v>
      </c>
      <c r="G60" s="354">
        <v>50</v>
      </c>
      <c r="H60" s="343"/>
    </row>
    <row r="61" spans="1:8" ht="20.25" x14ac:dyDescent="0.3">
      <c r="A61" s="344"/>
      <c r="B61" s="344"/>
      <c r="C61" s="344"/>
      <c r="D61" s="345" t="s">
        <v>104</v>
      </c>
      <c r="E61" s="346" t="e">
        <f>E59/E60</f>
        <v>#DIV/0!</v>
      </c>
      <c r="F61" s="346">
        <f>F59/F60</f>
        <v>15.98</v>
      </c>
      <c r="G61" s="346" t="e">
        <f>G59/G60</f>
        <v>#DIV/0!</v>
      </c>
      <c r="H61" s="343"/>
    </row>
    <row r="62" spans="1:8" x14ac:dyDescent="0.25">
      <c r="A62" s="344"/>
      <c r="B62" s="344"/>
      <c r="C62" s="344"/>
      <c r="D62" s="344"/>
      <c r="E62" s="343"/>
      <c r="F62" s="343"/>
      <c r="G62" s="343"/>
      <c r="H62" s="343"/>
    </row>
    <row r="63" spans="1:8" ht="24.75" customHeight="1" x14ac:dyDescent="0.25">
      <c r="A63" s="344"/>
      <c r="B63" s="344"/>
      <c r="C63" s="344"/>
      <c r="D63" s="347" t="s">
        <v>115</v>
      </c>
      <c r="E63" s="343"/>
      <c r="F63" s="343"/>
      <c r="G63" s="343"/>
      <c r="H63" s="343"/>
    </row>
    <row r="64" spans="1:8" x14ac:dyDescent="0.25">
      <c r="A64" s="132"/>
      <c r="B64" s="132"/>
      <c r="C64" s="132"/>
      <c r="D64" s="132"/>
    </row>
    <row r="65" spans="1:4" x14ac:dyDescent="0.25">
      <c r="A65" s="132"/>
      <c r="B65" s="132"/>
      <c r="C65" s="132"/>
      <c r="D65" s="132"/>
    </row>
    <row r="66" spans="1:4" x14ac:dyDescent="0.25">
      <c r="A66" s="132"/>
      <c r="B66" s="132"/>
      <c r="C66" s="132"/>
      <c r="D66" s="132"/>
    </row>
    <row r="67" spans="1:4" x14ac:dyDescent="0.25">
      <c r="A67" s="132"/>
      <c r="B67" s="132"/>
      <c r="C67" s="132"/>
      <c r="D67" s="132"/>
    </row>
    <row r="68" spans="1:4" x14ac:dyDescent="0.25">
      <c r="A68" s="132"/>
      <c r="B68" s="132"/>
      <c r="C68" s="132"/>
      <c r="D68" s="132"/>
    </row>
    <row r="69" spans="1:4" x14ac:dyDescent="0.25">
      <c r="A69" s="132"/>
      <c r="B69" s="132"/>
      <c r="C69" s="132"/>
      <c r="D69" s="132"/>
    </row>
    <row r="70" spans="1:4" x14ac:dyDescent="0.25">
      <c r="A70" s="132"/>
      <c r="B70" s="132"/>
      <c r="C70" s="132"/>
      <c r="D70" s="132"/>
    </row>
    <row r="71" spans="1:4" x14ac:dyDescent="0.25">
      <c r="A71" s="132"/>
      <c r="B71" s="132"/>
      <c r="C71" s="132"/>
      <c r="D71" s="132"/>
    </row>
    <row r="72" spans="1:4" x14ac:dyDescent="0.25">
      <c r="A72" s="132"/>
      <c r="B72" s="132"/>
      <c r="C72" s="132"/>
      <c r="D72" s="132"/>
    </row>
    <row r="73" spans="1:4" x14ac:dyDescent="0.25">
      <c r="A73" s="132"/>
      <c r="B73" s="132"/>
      <c r="C73" s="132"/>
      <c r="D73" s="132"/>
    </row>
    <row r="74" spans="1:4" x14ac:dyDescent="0.25">
      <c r="A74" s="132"/>
      <c r="B74" s="132"/>
      <c r="C74" s="132"/>
      <c r="D74" s="132"/>
    </row>
    <row r="75" spans="1:4" x14ac:dyDescent="0.25">
      <c r="A75" s="132"/>
      <c r="B75" s="132"/>
      <c r="C75" s="132"/>
      <c r="D75" s="132"/>
    </row>
    <row r="76" spans="1:4" x14ac:dyDescent="0.25">
      <c r="A76" s="132"/>
      <c r="B76" s="132"/>
      <c r="C76" s="132"/>
      <c r="D76" s="132"/>
    </row>
    <row r="77" spans="1:4" x14ac:dyDescent="0.25">
      <c r="A77" s="132"/>
      <c r="B77" s="132"/>
      <c r="C77" s="132"/>
      <c r="D77" s="132"/>
    </row>
    <row r="78" spans="1:4" x14ac:dyDescent="0.25">
      <c r="A78" s="132"/>
      <c r="B78" s="132"/>
      <c r="C78" s="132"/>
      <c r="D78" s="132"/>
    </row>
    <row r="79" spans="1:4" x14ac:dyDescent="0.25">
      <c r="A79" s="132"/>
      <c r="B79" s="132"/>
      <c r="C79" s="132"/>
      <c r="D79" s="132"/>
    </row>
    <row r="80" spans="1:4" x14ac:dyDescent="0.25">
      <c r="A80" s="132"/>
      <c r="B80" s="132"/>
      <c r="C80" s="132"/>
      <c r="D80" s="132"/>
    </row>
    <row r="81" spans="1:4" x14ac:dyDescent="0.25">
      <c r="A81" s="132"/>
      <c r="B81" s="132"/>
      <c r="C81" s="132"/>
      <c r="D81" s="132"/>
    </row>
    <row r="82" spans="1:4" x14ac:dyDescent="0.25">
      <c r="A82" s="132"/>
      <c r="B82" s="132"/>
      <c r="C82" s="132"/>
      <c r="D82" s="132"/>
    </row>
    <row r="83" spans="1:4" x14ac:dyDescent="0.25">
      <c r="A83" s="132"/>
      <c r="B83" s="132"/>
      <c r="C83" s="132"/>
      <c r="D83" s="132"/>
    </row>
    <row r="84" spans="1:4" x14ac:dyDescent="0.25">
      <c r="A84" s="132"/>
      <c r="B84" s="132"/>
      <c r="C84" s="132"/>
      <c r="D84" s="132"/>
    </row>
    <row r="85" spans="1:4" x14ac:dyDescent="0.25">
      <c r="A85" s="132"/>
      <c r="B85" s="132"/>
      <c r="C85" s="132"/>
      <c r="D85" s="132"/>
    </row>
    <row r="86" spans="1:4" x14ac:dyDescent="0.25">
      <c r="A86" s="132"/>
      <c r="B86" s="132"/>
      <c r="C86" s="132"/>
      <c r="D86" s="132"/>
    </row>
    <row r="87" spans="1:4" x14ac:dyDescent="0.25">
      <c r="A87" s="132"/>
      <c r="B87" s="132"/>
      <c r="C87" s="132"/>
      <c r="D87" s="132"/>
    </row>
    <row r="88" spans="1:4" x14ac:dyDescent="0.25">
      <c r="A88" s="132"/>
      <c r="B88" s="132"/>
      <c r="C88" s="132"/>
      <c r="D88" s="132"/>
    </row>
    <row r="89" spans="1:4" x14ac:dyDescent="0.25">
      <c r="A89" s="132"/>
      <c r="B89" s="132"/>
      <c r="C89" s="132"/>
      <c r="D89" s="132"/>
    </row>
    <row r="90" spans="1:4" x14ac:dyDescent="0.25">
      <c r="A90" s="132"/>
      <c r="B90" s="132"/>
      <c r="C90" s="132"/>
      <c r="D90" s="132"/>
    </row>
    <row r="91" spans="1:4" x14ac:dyDescent="0.25">
      <c r="A91" s="132"/>
      <c r="B91" s="132"/>
      <c r="C91" s="132"/>
      <c r="D91" s="132"/>
    </row>
    <row r="92" spans="1:4" x14ac:dyDescent="0.25">
      <c r="A92" s="132"/>
      <c r="B92" s="132"/>
      <c r="C92" s="132"/>
      <c r="D92" s="132"/>
    </row>
    <row r="93" spans="1:4" x14ac:dyDescent="0.25">
      <c r="A93" s="132"/>
      <c r="B93" s="132"/>
      <c r="C93" s="132"/>
      <c r="D93" s="132"/>
    </row>
    <row r="94" spans="1:4" x14ac:dyDescent="0.25">
      <c r="A94" s="132"/>
      <c r="B94" s="132"/>
      <c r="C94" s="132"/>
      <c r="D94" s="132"/>
    </row>
    <row r="95" spans="1:4" x14ac:dyDescent="0.25">
      <c r="A95" s="132"/>
      <c r="B95" s="132"/>
      <c r="C95" s="132"/>
      <c r="D95" s="132"/>
    </row>
    <row r="96" spans="1:4" x14ac:dyDescent="0.25">
      <c r="A96" s="132"/>
      <c r="B96" s="132"/>
      <c r="C96" s="132"/>
      <c r="D96" s="132"/>
    </row>
    <row r="97" spans="1:4" x14ac:dyDescent="0.25">
      <c r="A97" s="132"/>
      <c r="B97" s="132"/>
      <c r="C97" s="132"/>
      <c r="D97" s="132"/>
    </row>
    <row r="98" spans="1:4" x14ac:dyDescent="0.25">
      <c r="A98" s="132"/>
      <c r="B98" s="132"/>
      <c r="C98" s="132"/>
      <c r="D98" s="132"/>
    </row>
    <row r="99" spans="1:4" x14ac:dyDescent="0.25">
      <c r="A99" s="132"/>
      <c r="B99" s="132"/>
      <c r="C99" s="132"/>
      <c r="D99" s="132"/>
    </row>
    <row r="100" spans="1:4" x14ac:dyDescent="0.25">
      <c r="A100" s="132"/>
      <c r="B100" s="132"/>
      <c r="C100" s="132"/>
      <c r="D100" s="132"/>
    </row>
    <row r="101" spans="1:4" x14ac:dyDescent="0.25">
      <c r="A101" s="132"/>
      <c r="B101" s="132"/>
      <c r="C101" s="132"/>
      <c r="D101" s="132"/>
    </row>
    <row r="102" spans="1:4" x14ac:dyDescent="0.25">
      <c r="A102" s="132"/>
      <c r="B102" s="132"/>
      <c r="C102" s="132"/>
      <c r="D102" s="132"/>
    </row>
    <row r="103" spans="1:4" x14ac:dyDescent="0.25">
      <c r="A103" s="132"/>
      <c r="B103" s="132"/>
      <c r="C103" s="132"/>
      <c r="D103" s="132"/>
    </row>
    <row r="104" spans="1:4" x14ac:dyDescent="0.25">
      <c r="A104" s="132"/>
      <c r="B104" s="132"/>
      <c r="C104" s="132"/>
      <c r="D104" s="132"/>
    </row>
    <row r="105" spans="1:4" x14ac:dyDescent="0.25">
      <c r="A105" s="132"/>
      <c r="B105" s="132"/>
      <c r="C105" s="132"/>
      <c r="D105" s="132"/>
    </row>
    <row r="106" spans="1:4" x14ac:dyDescent="0.25">
      <c r="A106" s="132"/>
      <c r="B106" s="132"/>
      <c r="C106" s="132"/>
      <c r="D106" s="132"/>
    </row>
    <row r="107" spans="1:4" x14ac:dyDescent="0.25">
      <c r="A107" s="132"/>
      <c r="B107" s="132"/>
      <c r="C107" s="132"/>
      <c r="D107" s="132"/>
    </row>
    <row r="108" spans="1:4" x14ac:dyDescent="0.25">
      <c r="A108" s="132"/>
      <c r="B108" s="132"/>
      <c r="C108" s="132"/>
      <c r="D108" s="132"/>
    </row>
    <row r="109" spans="1:4" x14ac:dyDescent="0.25">
      <c r="A109" s="132"/>
      <c r="B109" s="132"/>
      <c r="C109" s="132"/>
      <c r="D109" s="132"/>
    </row>
    <row r="110" spans="1:4" x14ac:dyDescent="0.25">
      <c r="A110" s="132"/>
      <c r="B110" s="132"/>
      <c r="C110" s="132"/>
      <c r="D110" s="132"/>
    </row>
    <row r="111" spans="1:4" x14ac:dyDescent="0.25">
      <c r="A111" s="132"/>
      <c r="B111" s="132"/>
      <c r="C111" s="132"/>
      <c r="D111" s="132"/>
    </row>
    <row r="112" spans="1:4" x14ac:dyDescent="0.25">
      <c r="A112" s="132"/>
      <c r="B112" s="132"/>
      <c r="C112" s="132"/>
      <c r="D112" s="132"/>
    </row>
    <row r="113" spans="1:4" x14ac:dyDescent="0.25">
      <c r="A113" s="132"/>
      <c r="B113" s="132"/>
      <c r="C113" s="132"/>
      <c r="D113" s="132"/>
    </row>
    <row r="114" spans="1:4" x14ac:dyDescent="0.25">
      <c r="A114" s="132"/>
      <c r="B114" s="132"/>
      <c r="C114" s="132"/>
      <c r="D114" s="132"/>
    </row>
    <row r="115" spans="1:4" x14ac:dyDescent="0.25">
      <c r="A115" s="132"/>
      <c r="B115" s="132"/>
      <c r="C115" s="132"/>
      <c r="D115" s="132"/>
    </row>
    <row r="116" spans="1:4" x14ac:dyDescent="0.25">
      <c r="A116" s="132"/>
      <c r="B116" s="132"/>
      <c r="C116" s="132"/>
      <c r="D116" s="132"/>
    </row>
    <row r="117" spans="1:4" x14ac:dyDescent="0.25">
      <c r="A117" s="132"/>
      <c r="B117" s="132"/>
      <c r="C117" s="132"/>
      <c r="D117" s="132"/>
    </row>
    <row r="118" spans="1:4" x14ac:dyDescent="0.25">
      <c r="A118" s="132"/>
      <c r="B118" s="132"/>
      <c r="C118" s="132"/>
      <c r="D118" s="132"/>
    </row>
    <row r="119" spans="1:4" x14ac:dyDescent="0.25">
      <c r="A119" s="132"/>
      <c r="B119" s="132"/>
      <c r="C119" s="132"/>
      <c r="D119" s="132"/>
    </row>
    <row r="120" spans="1:4" x14ac:dyDescent="0.25">
      <c r="A120" s="132"/>
      <c r="B120" s="132"/>
      <c r="C120" s="132"/>
      <c r="D120" s="132"/>
    </row>
    <row r="121" spans="1:4" x14ac:dyDescent="0.25">
      <c r="A121" s="132"/>
      <c r="B121" s="132"/>
      <c r="C121" s="132"/>
      <c r="D121" s="132"/>
    </row>
    <row r="122" spans="1:4" x14ac:dyDescent="0.25">
      <c r="A122" s="132"/>
      <c r="B122" s="132"/>
      <c r="C122" s="132"/>
      <c r="D122" s="132"/>
    </row>
    <row r="123" spans="1:4" x14ac:dyDescent="0.25">
      <c r="A123" s="132"/>
      <c r="B123" s="132"/>
      <c r="C123" s="132"/>
      <c r="D123" s="132"/>
    </row>
    <row r="124" spans="1:4" x14ac:dyDescent="0.25">
      <c r="A124" s="132"/>
      <c r="B124" s="132"/>
      <c r="C124" s="132"/>
      <c r="D124" s="132"/>
    </row>
    <row r="125" spans="1:4" x14ac:dyDescent="0.25">
      <c r="A125" s="132"/>
      <c r="B125" s="132"/>
      <c r="C125" s="132"/>
      <c r="D125" s="132"/>
    </row>
    <row r="126" spans="1:4" x14ac:dyDescent="0.25">
      <c r="A126" s="132"/>
      <c r="B126" s="132"/>
      <c r="C126" s="132"/>
      <c r="D126" s="132"/>
    </row>
    <row r="127" spans="1:4" x14ac:dyDescent="0.25">
      <c r="A127" s="132"/>
      <c r="B127" s="132"/>
      <c r="C127" s="132"/>
      <c r="D127" s="132"/>
    </row>
    <row r="128" spans="1:4" x14ac:dyDescent="0.25">
      <c r="A128" s="132"/>
      <c r="B128" s="132"/>
      <c r="C128" s="132"/>
      <c r="D128" s="132"/>
    </row>
    <row r="129" spans="1:4" x14ac:dyDescent="0.25">
      <c r="A129" s="132"/>
      <c r="B129" s="132"/>
      <c r="C129" s="132"/>
      <c r="D129" s="132"/>
    </row>
    <row r="130" spans="1:4" x14ac:dyDescent="0.25">
      <c r="A130" s="132"/>
      <c r="B130" s="132"/>
      <c r="C130" s="132"/>
      <c r="D130" s="132"/>
    </row>
    <row r="131" spans="1:4" x14ac:dyDescent="0.25">
      <c r="A131" s="132"/>
      <c r="B131" s="132"/>
      <c r="C131" s="132"/>
      <c r="D131" s="132"/>
    </row>
    <row r="132" spans="1:4" x14ac:dyDescent="0.25">
      <c r="A132" s="132"/>
      <c r="B132" s="132"/>
      <c r="C132" s="132"/>
      <c r="D132" s="132"/>
    </row>
    <row r="133" spans="1:4" x14ac:dyDescent="0.25">
      <c r="A133" s="132"/>
      <c r="B133" s="132"/>
      <c r="C133" s="132"/>
      <c r="D133" s="132"/>
    </row>
    <row r="134" spans="1:4" x14ac:dyDescent="0.25">
      <c r="A134" s="132"/>
      <c r="B134" s="132"/>
      <c r="C134" s="132"/>
      <c r="D134" s="132"/>
    </row>
    <row r="135" spans="1:4" x14ac:dyDescent="0.25">
      <c r="A135" s="132"/>
      <c r="B135" s="132"/>
      <c r="C135" s="132"/>
      <c r="D135" s="132"/>
    </row>
    <row r="136" spans="1:4" x14ac:dyDescent="0.25">
      <c r="A136" s="132"/>
      <c r="B136" s="132"/>
      <c r="C136" s="132"/>
      <c r="D136" s="132"/>
    </row>
    <row r="137" spans="1:4" x14ac:dyDescent="0.25">
      <c r="A137" s="132"/>
      <c r="B137" s="132"/>
      <c r="C137" s="132"/>
      <c r="D137" s="132"/>
    </row>
    <row r="138" spans="1:4" x14ac:dyDescent="0.25">
      <c r="A138" s="132"/>
      <c r="B138" s="132"/>
      <c r="C138" s="132"/>
      <c r="D138" s="132"/>
    </row>
    <row r="139" spans="1:4" x14ac:dyDescent="0.25">
      <c r="A139" s="132"/>
      <c r="B139" s="132"/>
      <c r="C139" s="132"/>
      <c r="D139" s="132"/>
    </row>
    <row r="140" spans="1:4" x14ac:dyDescent="0.25">
      <c r="A140" s="132"/>
      <c r="B140" s="132"/>
      <c r="C140" s="132"/>
      <c r="D140" s="132"/>
    </row>
    <row r="141" spans="1:4" x14ac:dyDescent="0.25">
      <c r="A141" s="132"/>
      <c r="B141" s="132"/>
      <c r="C141" s="132"/>
      <c r="D141" s="132"/>
    </row>
    <row r="142" spans="1:4" x14ac:dyDescent="0.25">
      <c r="A142" s="132"/>
      <c r="B142" s="132"/>
      <c r="C142" s="132"/>
      <c r="D142" s="132"/>
    </row>
    <row r="143" spans="1:4" x14ac:dyDescent="0.25">
      <c r="A143" s="132"/>
      <c r="B143" s="132"/>
      <c r="C143" s="132"/>
      <c r="D143" s="132"/>
    </row>
    <row r="144" spans="1:4" x14ac:dyDescent="0.25">
      <c r="A144" s="132"/>
      <c r="B144" s="132"/>
      <c r="C144" s="132"/>
      <c r="D144" s="132"/>
    </row>
    <row r="145" spans="1:4" x14ac:dyDescent="0.25">
      <c r="A145" s="132"/>
      <c r="B145" s="132"/>
      <c r="C145" s="132"/>
      <c r="D145" s="132"/>
    </row>
    <row r="146" spans="1:4" x14ac:dyDescent="0.25">
      <c r="A146" s="132"/>
      <c r="B146" s="132"/>
      <c r="C146" s="132"/>
      <c r="D146" s="132"/>
    </row>
    <row r="147" spans="1:4" x14ac:dyDescent="0.25">
      <c r="A147" s="132"/>
      <c r="B147" s="132"/>
      <c r="C147" s="132"/>
      <c r="D147" s="132"/>
    </row>
    <row r="148" spans="1:4" x14ac:dyDescent="0.25">
      <c r="A148" s="132"/>
      <c r="B148" s="132"/>
      <c r="C148" s="132"/>
      <c r="D148" s="132"/>
    </row>
    <row r="149" spans="1:4" x14ac:dyDescent="0.25">
      <c r="A149" s="132"/>
      <c r="B149" s="132"/>
      <c r="C149" s="132"/>
      <c r="D149" s="132"/>
    </row>
    <row r="150" spans="1:4" x14ac:dyDescent="0.25">
      <c r="A150" s="132"/>
      <c r="B150" s="132"/>
      <c r="C150" s="132"/>
      <c r="D150" s="132"/>
    </row>
    <row r="151" spans="1:4" x14ac:dyDescent="0.25">
      <c r="A151" s="132"/>
      <c r="B151" s="132"/>
      <c r="C151" s="132"/>
      <c r="D151" s="132"/>
    </row>
    <row r="152" spans="1:4" x14ac:dyDescent="0.25">
      <c r="A152" s="132"/>
      <c r="B152" s="132"/>
      <c r="C152" s="132"/>
      <c r="D152" s="132"/>
    </row>
    <row r="153" spans="1:4" x14ac:dyDescent="0.25">
      <c r="A153" s="132"/>
      <c r="B153" s="132"/>
      <c r="C153" s="132"/>
      <c r="D153" s="132"/>
    </row>
    <row r="154" spans="1:4" x14ac:dyDescent="0.25">
      <c r="A154" s="132"/>
      <c r="B154" s="132"/>
      <c r="C154" s="132"/>
      <c r="D154" s="132"/>
    </row>
    <row r="155" spans="1:4" x14ac:dyDescent="0.25">
      <c r="A155" s="132"/>
      <c r="B155" s="132"/>
      <c r="C155" s="132"/>
      <c r="D155" s="132"/>
    </row>
    <row r="156" spans="1:4" x14ac:dyDescent="0.25">
      <c r="A156" s="132"/>
      <c r="B156" s="132"/>
      <c r="C156" s="132"/>
      <c r="D156" s="132"/>
    </row>
    <row r="157" spans="1:4" x14ac:dyDescent="0.25">
      <c r="A157" s="132"/>
      <c r="B157" s="132"/>
      <c r="C157" s="132"/>
      <c r="D157" s="132"/>
    </row>
    <row r="158" spans="1:4" x14ac:dyDescent="0.25">
      <c r="A158" s="132"/>
      <c r="B158" s="132"/>
      <c r="C158" s="132"/>
      <c r="D158" s="132"/>
    </row>
    <row r="159" spans="1:4" x14ac:dyDescent="0.25">
      <c r="A159" s="132"/>
      <c r="B159" s="132"/>
      <c r="C159" s="132"/>
      <c r="D159" s="132"/>
    </row>
    <row r="160" spans="1:4" x14ac:dyDescent="0.25">
      <c r="A160" s="132"/>
      <c r="B160" s="132"/>
      <c r="C160" s="132"/>
      <c r="D160" s="132"/>
    </row>
    <row r="161" spans="1:4" x14ac:dyDescent="0.25">
      <c r="A161" s="132"/>
      <c r="B161" s="132"/>
      <c r="C161" s="132"/>
      <c r="D161" s="132"/>
    </row>
    <row r="162" spans="1:4" x14ac:dyDescent="0.25">
      <c r="A162" s="132"/>
      <c r="B162" s="132"/>
      <c r="C162" s="132"/>
      <c r="D162" s="132"/>
    </row>
    <row r="163" spans="1:4" x14ac:dyDescent="0.25">
      <c r="A163" s="132"/>
      <c r="B163" s="132"/>
      <c r="C163" s="132"/>
      <c r="D163" s="132"/>
    </row>
    <row r="164" spans="1:4" x14ac:dyDescent="0.25">
      <c r="A164" s="132"/>
      <c r="B164" s="132"/>
      <c r="C164" s="132"/>
      <c r="D164" s="132"/>
    </row>
    <row r="165" spans="1:4" x14ac:dyDescent="0.25">
      <c r="A165" s="132"/>
      <c r="B165" s="132"/>
      <c r="C165" s="132"/>
      <c r="D165" s="132"/>
    </row>
    <row r="166" spans="1:4" x14ac:dyDescent="0.25">
      <c r="A166" s="132"/>
      <c r="B166" s="132"/>
      <c r="C166" s="132"/>
      <c r="D166" s="132"/>
    </row>
    <row r="167" spans="1:4" x14ac:dyDescent="0.25">
      <c r="A167" s="132"/>
      <c r="B167" s="132"/>
      <c r="C167" s="132"/>
      <c r="D167" s="132"/>
    </row>
  </sheetData>
  <sheetProtection algorithmName="SHA-512" hashValue="bwFR4/EMija1R2+13aXPfcw6Zdn/lCclIk7XNqmJjWAcY+vuZGxrde6lzJ08rPHHgPCtL155bHD/Nl+hn9MCKQ==" saltValue="J5y4z5ZlxPLe1igsnJA1qQ==" spinCount="100000" sheet="1" objects="1" scenarios="1"/>
  <protectedRanges>
    <protectedRange sqref="A4:D4" name="Range16_3"/>
    <protectedRange sqref="C10:C58 A9:A58" name="Range1_3"/>
  </protectedRanges>
  <mergeCells count="16">
    <mergeCell ref="H5:H8"/>
    <mergeCell ref="E4:H4"/>
    <mergeCell ref="A1:H1"/>
    <mergeCell ref="A2:H2"/>
    <mergeCell ref="A3:H3"/>
    <mergeCell ref="E5:E6"/>
    <mergeCell ref="F5:F6"/>
    <mergeCell ref="A4:D4"/>
    <mergeCell ref="A5:A8"/>
    <mergeCell ref="B5:B8"/>
    <mergeCell ref="C5:C8"/>
    <mergeCell ref="D5:D8"/>
    <mergeCell ref="E7:E8"/>
    <mergeCell ref="F7:F8"/>
    <mergeCell ref="G7:G8"/>
    <mergeCell ref="G5:G6"/>
  </mergeCells>
  <pageMargins left="0.59055118110236227" right="0" top="0.47244094488188981" bottom="0.35433070866141736" header="0.31496062992125984" footer="0.19685039370078741"/>
  <pageSetup paperSize="9" orientation="portrait" blackAndWhite="1" horizontalDpi="4294967293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E39"/>
    <pageSetUpPr fitToPage="1"/>
  </sheetPr>
  <dimension ref="A1:P33"/>
  <sheetViews>
    <sheetView workbookViewId="0">
      <selection sqref="A1:H1"/>
    </sheetView>
  </sheetViews>
  <sheetFormatPr defaultRowHeight="14.25" x14ac:dyDescent="0.2"/>
  <cols>
    <col min="1" max="1" width="12.125" customWidth="1"/>
    <col min="2" max="2" width="10.25" customWidth="1"/>
    <col min="4" max="4" width="8.25" customWidth="1"/>
    <col min="5" max="5" width="6.25" style="38" customWidth="1"/>
    <col min="6" max="6" width="14.625" customWidth="1"/>
    <col min="7" max="7" width="10.5" customWidth="1"/>
    <col min="8" max="8" width="8.5" customWidth="1"/>
    <col min="9" max="9" width="4.125" customWidth="1"/>
    <col min="10" max="10" width="13.25" style="28" customWidth="1"/>
    <col min="11" max="11" width="9.625" style="28" customWidth="1"/>
    <col min="12" max="12" width="13" style="28" customWidth="1"/>
    <col min="13" max="14" width="9" style="28"/>
  </cols>
  <sheetData>
    <row r="1" spans="1:16" ht="25.5" customHeight="1" x14ac:dyDescent="0.2">
      <c r="A1" s="637" t="s">
        <v>50</v>
      </c>
      <c r="B1" s="637"/>
      <c r="C1" s="637"/>
      <c r="D1" s="637"/>
      <c r="E1" s="637"/>
      <c r="F1" s="637"/>
      <c r="G1" s="637"/>
      <c r="H1" s="637"/>
      <c r="I1" s="2"/>
      <c r="J1" s="27"/>
      <c r="K1" s="27"/>
      <c r="L1" s="27"/>
      <c r="M1" s="27"/>
    </row>
    <row r="2" spans="1:16" ht="25.5" customHeight="1" x14ac:dyDescent="0.35">
      <c r="A2" s="638" t="str">
        <f>DATA!B6</f>
        <v>ประถมศึกษาปีที่ ๔/๑</v>
      </c>
      <c r="B2" s="638"/>
      <c r="C2" s="638"/>
      <c r="D2" s="638"/>
      <c r="E2" s="638"/>
      <c r="F2" s="638"/>
      <c r="G2" s="638"/>
      <c r="H2" s="638"/>
      <c r="I2" s="29"/>
      <c r="J2" s="27"/>
      <c r="K2" s="27"/>
      <c r="L2" s="27"/>
      <c r="M2" s="27"/>
    </row>
    <row r="3" spans="1:16" ht="25.5" customHeight="1" x14ac:dyDescent="0.35">
      <c r="A3" s="638" t="str">
        <f>DATA!B8&amp;"  วิชา"&amp;DATA!B9&amp;"   ครูผู้สอน"&amp;DATA!B10</f>
        <v>รหัสวิชา ท14101  วิชาภาษาไทย   ครูผู้สอน-</v>
      </c>
      <c r="B3" s="638"/>
      <c r="C3" s="638"/>
      <c r="D3" s="638"/>
      <c r="E3" s="638"/>
      <c r="F3" s="638"/>
      <c r="G3" s="638"/>
      <c r="H3" s="638"/>
      <c r="I3" s="29"/>
      <c r="J3" s="27"/>
      <c r="K3" s="27"/>
      <c r="L3" s="27"/>
      <c r="M3" s="27"/>
    </row>
    <row r="4" spans="1:16" ht="39.75" customHeight="1" thickBot="1" x14ac:dyDescent="0.4">
      <c r="A4" s="639" t="s">
        <v>113</v>
      </c>
      <c r="B4" s="639"/>
      <c r="C4" s="639"/>
      <c r="D4" s="639"/>
      <c r="E4" s="639"/>
      <c r="F4" s="639"/>
      <c r="G4" s="639"/>
      <c r="H4" s="639"/>
      <c r="I4" s="29"/>
      <c r="J4" s="27"/>
      <c r="K4" s="27"/>
      <c r="L4" s="27"/>
      <c r="M4" s="27"/>
    </row>
    <row r="5" spans="1:16" ht="24" thickBot="1" x14ac:dyDescent="0.25">
      <c r="A5" s="640" t="s">
        <v>74</v>
      </c>
      <c r="B5" s="641"/>
      <c r="C5" s="641"/>
      <c r="D5" s="44"/>
      <c r="E5" s="35"/>
      <c r="F5" s="45" t="s">
        <v>75</v>
      </c>
      <c r="G5" s="46"/>
      <c r="H5" s="47"/>
      <c r="I5" s="3"/>
      <c r="M5" s="27"/>
    </row>
    <row r="6" spans="1:16" ht="24" customHeight="1" thickBot="1" x14ac:dyDescent="0.45">
      <c r="A6" s="31" t="s">
        <v>77</v>
      </c>
      <c r="B6" s="32" t="s">
        <v>78</v>
      </c>
      <c r="C6" s="32" t="s">
        <v>79</v>
      </c>
      <c r="D6" s="33" t="s">
        <v>94</v>
      </c>
      <c r="E6" s="36"/>
      <c r="F6" s="4" t="s">
        <v>80</v>
      </c>
      <c r="G6" s="5" t="s">
        <v>78</v>
      </c>
      <c r="H6" s="6" t="s">
        <v>79</v>
      </c>
      <c r="I6" s="2"/>
      <c r="J6" s="348"/>
      <c r="K6" s="348"/>
      <c r="L6" s="348"/>
      <c r="M6" s="348"/>
      <c r="N6" s="348"/>
      <c r="O6" s="348"/>
      <c r="P6" s="348"/>
    </row>
    <row r="7" spans="1:16" ht="23.25" x14ac:dyDescent="0.5">
      <c r="A7" s="10">
        <v>0</v>
      </c>
      <c r="B7" s="54">
        <f>COUNTIF(ปพ.5!$AL$6:$AL$55,"0")</f>
        <v>0</v>
      </c>
      <c r="C7" s="30" t="e">
        <f>B7/$B$15*100</f>
        <v>#DIV/0!</v>
      </c>
      <c r="D7" s="11">
        <f>A7*B7</f>
        <v>0</v>
      </c>
      <c r="E7" s="35"/>
      <c r="F7" s="7" t="s">
        <v>81</v>
      </c>
      <c r="G7" s="57">
        <f>COUNTIF(ปพ.5!AU6:AU55,"ดีเยี่ยม")</f>
        <v>0</v>
      </c>
      <c r="H7" s="8" t="e">
        <f>G7/G10*100</f>
        <v>#DIV/0!</v>
      </c>
      <c r="I7" s="2"/>
      <c r="M7" s="27"/>
    </row>
    <row r="8" spans="1:16" ht="23.25" x14ac:dyDescent="0.5">
      <c r="A8" s="10">
        <v>1</v>
      </c>
      <c r="B8" s="54">
        <f>COUNTIF(ปพ.5!$AL$6:$AL$55,"1")</f>
        <v>0</v>
      </c>
      <c r="C8" s="30" t="e">
        <f>B8/$B$15*100</f>
        <v>#DIV/0!</v>
      </c>
      <c r="D8" s="11">
        <f t="shared" ref="D8:D13" si="0">A8*B8</f>
        <v>0</v>
      </c>
      <c r="E8" s="35"/>
      <c r="F8" s="12" t="s">
        <v>82</v>
      </c>
      <c r="G8" s="58">
        <f>COUNTIF(ปพ.5!AU6:AU55,"ดี")</f>
        <v>0</v>
      </c>
      <c r="H8" s="13" t="e">
        <f>G8/G10*100</f>
        <v>#DIV/0!</v>
      </c>
      <c r="I8" s="2"/>
      <c r="M8" s="27"/>
    </row>
    <row r="9" spans="1:16" ht="24" thickBot="1" x14ac:dyDescent="0.55000000000000004">
      <c r="A9" s="10">
        <v>1.5</v>
      </c>
      <c r="B9" s="54">
        <f>COUNTIF(ปพ.5!$AL$6:$AL$55,"1.5")</f>
        <v>0</v>
      </c>
      <c r="C9" s="30" t="e">
        <f t="shared" ref="C9:C14" si="1">B9/$B$15*100</f>
        <v>#DIV/0!</v>
      </c>
      <c r="D9" s="11">
        <f t="shared" si="0"/>
        <v>0</v>
      </c>
      <c r="E9" s="35"/>
      <c r="F9" s="15" t="s">
        <v>83</v>
      </c>
      <c r="G9" s="59">
        <f>COUNTIF(ปพ.5!AU6:AU55,"ผ่าน")</f>
        <v>0</v>
      </c>
      <c r="H9" s="21" t="e">
        <f>G9/G10*100</f>
        <v>#DIV/0!</v>
      </c>
      <c r="I9" s="2"/>
      <c r="M9" s="27"/>
    </row>
    <row r="10" spans="1:16" ht="24" thickBot="1" x14ac:dyDescent="0.55000000000000004">
      <c r="A10" s="10">
        <v>2</v>
      </c>
      <c r="B10" s="54">
        <f>COUNTIF(ปพ.5!$AL$6:$AL$55,"2")</f>
        <v>0</v>
      </c>
      <c r="C10" s="30" t="e">
        <f t="shared" si="1"/>
        <v>#DIV/0!</v>
      </c>
      <c r="D10" s="11">
        <f t="shared" si="0"/>
        <v>0</v>
      </c>
      <c r="E10" s="35"/>
      <c r="F10" s="17" t="s">
        <v>51</v>
      </c>
      <c r="G10" s="60">
        <f>SUM(G7:G9)</f>
        <v>0</v>
      </c>
      <c r="H10" s="18" t="e">
        <f>SUM(H7:H9)</f>
        <v>#DIV/0!</v>
      </c>
      <c r="I10" s="19"/>
      <c r="M10" s="27"/>
    </row>
    <row r="11" spans="1:16" ht="24" thickBot="1" x14ac:dyDescent="0.55000000000000004">
      <c r="A11" s="10">
        <v>2.5</v>
      </c>
      <c r="B11" s="54">
        <f>COUNTIF(ปพ.5!$AL$6:$AL$55,"2.5")</f>
        <v>0</v>
      </c>
      <c r="C11" s="30" t="e">
        <f t="shared" si="1"/>
        <v>#DIV/0!</v>
      </c>
      <c r="D11" s="11">
        <f t="shared" si="0"/>
        <v>0</v>
      </c>
      <c r="E11" s="35"/>
      <c r="F11" s="2"/>
      <c r="G11" s="2"/>
      <c r="H11" s="2"/>
      <c r="I11" s="2"/>
      <c r="J11" s="27"/>
      <c r="K11" s="27"/>
      <c r="L11" s="27"/>
      <c r="M11" s="27"/>
    </row>
    <row r="12" spans="1:16" ht="24" thickBot="1" x14ac:dyDescent="0.55000000000000004">
      <c r="A12" s="10">
        <v>3</v>
      </c>
      <c r="B12" s="54">
        <f>COUNTIF(ปพ.5!$AL$6:$AL$55,"3")</f>
        <v>0</v>
      </c>
      <c r="C12" s="30" t="e">
        <f t="shared" si="1"/>
        <v>#DIV/0!</v>
      </c>
      <c r="D12" s="11">
        <f t="shared" si="0"/>
        <v>0</v>
      </c>
      <c r="E12" s="35"/>
      <c r="F12" s="48" t="s">
        <v>76</v>
      </c>
      <c r="G12" s="49"/>
      <c r="H12" s="50"/>
      <c r="I12" s="2"/>
      <c r="J12" s="27"/>
      <c r="K12" s="27"/>
      <c r="L12" s="27"/>
      <c r="M12" s="27"/>
    </row>
    <row r="13" spans="1:16" ht="24" thickBot="1" x14ac:dyDescent="0.55000000000000004">
      <c r="A13" s="10">
        <v>3.5</v>
      </c>
      <c r="B13" s="54">
        <f>COUNTIF(ปพ.5!$AL$6:$AL$55,"3.5")</f>
        <v>0</v>
      </c>
      <c r="C13" s="30" t="e">
        <f t="shared" si="1"/>
        <v>#DIV/0!</v>
      </c>
      <c r="D13" s="11">
        <f t="shared" si="0"/>
        <v>0</v>
      </c>
      <c r="E13" s="37">
        <f>SUM(B7:B14)</f>
        <v>0</v>
      </c>
      <c r="F13" s="22" t="s">
        <v>80</v>
      </c>
      <c r="G13" s="23" t="s">
        <v>78</v>
      </c>
      <c r="H13" s="24" t="s">
        <v>79</v>
      </c>
      <c r="I13" s="2"/>
      <c r="J13" s="27"/>
      <c r="K13" s="27"/>
      <c r="L13" s="27"/>
      <c r="M13" s="27"/>
    </row>
    <row r="14" spans="1:16" ht="24" thickBot="1" x14ac:dyDescent="0.55000000000000004">
      <c r="A14" s="39">
        <v>4</v>
      </c>
      <c r="B14" s="55">
        <f>COUNTIF(ปพ.5!$AL$6:$AL$55,"4")</f>
        <v>0</v>
      </c>
      <c r="C14" s="40" t="e">
        <f t="shared" si="1"/>
        <v>#DIV/0!</v>
      </c>
      <c r="D14" s="41">
        <f>A14*B14</f>
        <v>0</v>
      </c>
      <c r="E14" s="37">
        <f>SUM(D7:D14)</f>
        <v>0</v>
      </c>
      <c r="F14" s="9" t="s">
        <v>81</v>
      </c>
      <c r="G14" s="57">
        <f>COUNTIF(ปพ.5!BI6:BI55,"ดีเยี่ยม")</f>
        <v>0</v>
      </c>
      <c r="H14" s="8" t="e">
        <f>G14/G17*100</f>
        <v>#DIV/0!</v>
      </c>
      <c r="I14" s="2"/>
      <c r="J14" s="27"/>
      <c r="K14" s="27"/>
      <c r="L14" s="27"/>
      <c r="M14" s="27"/>
    </row>
    <row r="15" spans="1:16" ht="24" thickBot="1" x14ac:dyDescent="0.55000000000000004">
      <c r="A15" s="20" t="s">
        <v>51</v>
      </c>
      <c r="B15" s="56">
        <f>SUM(B7:B14)</f>
        <v>0</v>
      </c>
      <c r="C15" s="42">
        <f>E13/H21*100</f>
        <v>0</v>
      </c>
      <c r="D15" s="43" t="e">
        <f>E14/E15*100</f>
        <v>#DIV/0!</v>
      </c>
      <c r="E15" s="35">
        <f>B15*A14</f>
        <v>0</v>
      </c>
      <c r="F15" s="14" t="s">
        <v>82</v>
      </c>
      <c r="G15" s="58">
        <f>COUNTIF(ปพ.5!BI6:BI55,"ดี")</f>
        <v>0</v>
      </c>
      <c r="H15" s="13" t="e">
        <f>G15/G17*100</f>
        <v>#DIV/0!</v>
      </c>
      <c r="I15" s="2"/>
      <c r="J15" s="27"/>
      <c r="K15" s="27"/>
      <c r="L15" s="27"/>
      <c r="M15" s="27"/>
    </row>
    <row r="16" spans="1:16" ht="24" thickBot="1" x14ac:dyDescent="0.25">
      <c r="A16" s="1"/>
      <c r="B16" s="1"/>
      <c r="C16" s="1"/>
      <c r="D16" s="1"/>
      <c r="E16" s="35"/>
      <c r="F16" s="16" t="s">
        <v>83</v>
      </c>
      <c r="G16" s="59">
        <f>COUNTIF(ปพ.5!BI6:BI55,"ผ่าน")</f>
        <v>0</v>
      </c>
      <c r="H16" s="21" t="e">
        <f>G16/G17*100</f>
        <v>#DIV/0!</v>
      </c>
      <c r="I16" s="2"/>
      <c r="J16" s="27"/>
      <c r="K16" s="27"/>
      <c r="L16" s="27"/>
      <c r="M16" s="27"/>
    </row>
    <row r="17" spans="1:13" ht="24" thickBot="1" x14ac:dyDescent="0.25">
      <c r="A17" s="642" t="s">
        <v>99</v>
      </c>
      <c r="B17" s="643"/>
      <c r="C17" s="643"/>
      <c r="D17" s="644"/>
      <c r="E17" s="35"/>
      <c r="F17" s="25" t="s">
        <v>51</v>
      </c>
      <c r="G17" s="61">
        <f>SUM(G14:G16)</f>
        <v>0</v>
      </c>
      <c r="H17" s="26" t="e">
        <f>SUM(H14:H16)</f>
        <v>#DIV/0!</v>
      </c>
      <c r="I17" s="2"/>
      <c r="J17" s="27"/>
      <c r="K17" s="27"/>
      <c r="L17" s="27"/>
      <c r="M17" s="27"/>
    </row>
    <row r="18" spans="1:13" ht="23.25" x14ac:dyDescent="0.2">
      <c r="A18" s="645" t="s">
        <v>95</v>
      </c>
      <c r="B18" s="646"/>
      <c r="C18" s="647"/>
      <c r="D18" s="64">
        <v>97.560975609756099</v>
      </c>
    </row>
    <row r="19" spans="1:13" ht="23.25" x14ac:dyDescent="0.2">
      <c r="A19" s="645" t="s">
        <v>98</v>
      </c>
      <c r="B19" s="646"/>
      <c r="C19" s="647"/>
      <c r="D19" s="64">
        <v>2.4390243902439011</v>
      </c>
      <c r="F19" s="654" t="s">
        <v>100</v>
      </c>
      <c r="G19" s="655"/>
      <c r="H19" s="62">
        <f>COUNTA(ปพ.5!D6:D55)</f>
        <v>32</v>
      </c>
      <c r="I19" s="52" t="s">
        <v>103</v>
      </c>
    </row>
    <row r="20" spans="1:13" ht="23.25" x14ac:dyDescent="0.5">
      <c r="A20" s="645" t="s">
        <v>96</v>
      </c>
      <c r="B20" s="646"/>
      <c r="C20" s="647"/>
      <c r="D20" s="65">
        <v>67.378048780487802</v>
      </c>
      <c r="F20" s="648" t="s">
        <v>101</v>
      </c>
      <c r="G20" s="649"/>
      <c r="H20" s="324">
        <v>0</v>
      </c>
      <c r="I20" s="52" t="s">
        <v>103</v>
      </c>
    </row>
    <row r="21" spans="1:13" ht="24" thickBot="1" x14ac:dyDescent="0.55000000000000004">
      <c r="A21" s="650" t="s">
        <v>97</v>
      </c>
      <c r="B21" s="651"/>
      <c r="C21" s="651"/>
      <c r="D21" s="66">
        <v>2.6951219512195101</v>
      </c>
      <c r="F21" s="652" t="s">
        <v>102</v>
      </c>
      <c r="G21" s="653"/>
      <c r="H21" s="63">
        <f>H19-H20</f>
        <v>32</v>
      </c>
      <c r="I21" s="53" t="s">
        <v>103</v>
      </c>
    </row>
    <row r="22" spans="1:13" ht="23.25" x14ac:dyDescent="0.5">
      <c r="A22" s="34"/>
      <c r="B22" s="34"/>
      <c r="C22" s="34"/>
      <c r="D22" s="34"/>
    </row>
    <row r="23" spans="1:13" ht="23.25" x14ac:dyDescent="0.5">
      <c r="A23" s="34"/>
      <c r="B23" s="34"/>
      <c r="C23" s="34"/>
      <c r="D23" s="34"/>
    </row>
    <row r="24" spans="1:13" ht="23.25" x14ac:dyDescent="0.5">
      <c r="A24" s="34"/>
      <c r="B24" s="34"/>
      <c r="C24" s="34"/>
      <c r="D24" s="34"/>
    </row>
    <row r="25" spans="1:13" ht="23.25" x14ac:dyDescent="0.5">
      <c r="A25" s="34"/>
      <c r="B25" s="34"/>
      <c r="C25" s="34"/>
      <c r="D25" s="34"/>
    </row>
    <row r="26" spans="1:13" ht="23.25" x14ac:dyDescent="0.5">
      <c r="A26" s="34"/>
      <c r="B26" s="34"/>
      <c r="C26" s="34"/>
      <c r="D26" s="34"/>
    </row>
    <row r="27" spans="1:13" ht="23.25" x14ac:dyDescent="0.5">
      <c r="A27" s="34"/>
      <c r="B27" s="34"/>
      <c r="C27" s="34"/>
      <c r="D27" s="34"/>
    </row>
    <row r="28" spans="1:13" ht="23.25" x14ac:dyDescent="0.5">
      <c r="A28" s="34"/>
      <c r="B28" s="34"/>
      <c r="C28" s="34"/>
      <c r="D28" s="34"/>
    </row>
    <row r="33" spans="1:10" x14ac:dyDescent="0.2">
      <c r="A33" s="38" t="s">
        <v>77</v>
      </c>
      <c r="B33" s="38">
        <v>0</v>
      </c>
      <c r="C33" s="38">
        <v>1</v>
      </c>
      <c r="D33" s="38">
        <v>1.5</v>
      </c>
      <c r="E33" s="38">
        <v>2</v>
      </c>
      <c r="F33" s="38">
        <v>2.5</v>
      </c>
      <c r="G33" s="38">
        <v>3</v>
      </c>
      <c r="H33" s="38">
        <v>3.5</v>
      </c>
      <c r="I33" s="38">
        <v>4</v>
      </c>
      <c r="J33" s="51">
        <v>4.5</v>
      </c>
    </row>
  </sheetData>
  <sheetProtection algorithmName="SHA-512" hashValue="h41kIHdQ/+h1dB61d3URk0DwXFEYQ6pp4ThzoH06n16wPnQY7RmVdn/yIkZ6f2+KUGkVW/Vcnj4U5p6aNwu7iQ==" saltValue="N8b2fH8ghhBxWyvT0oyHkg==" spinCount="100000" sheet="1" objects="1" scenarios="1"/>
  <mergeCells count="13">
    <mergeCell ref="A20:C20"/>
    <mergeCell ref="F20:G20"/>
    <mergeCell ref="A21:C21"/>
    <mergeCell ref="F21:G21"/>
    <mergeCell ref="A3:H3"/>
    <mergeCell ref="A18:C18"/>
    <mergeCell ref="A19:C19"/>
    <mergeCell ref="F19:G19"/>
    <mergeCell ref="A1:H1"/>
    <mergeCell ref="A2:H2"/>
    <mergeCell ref="A4:H4"/>
    <mergeCell ref="A5:C5"/>
    <mergeCell ref="A17:D17"/>
  </mergeCells>
  <pageMargins left="0.70866141732283472" right="0.36" top="0.4" bottom="0.32" header="0.26" footer="0.18"/>
  <pageSetup scale="97" orientation="portrait" blackAndWhite="1" verticalDpi="0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2:M9"/>
  <sheetViews>
    <sheetView zoomScaleNormal="100" workbookViewId="0">
      <pane xSplit="18" ySplit="10" topLeftCell="S11" activePane="bottomRight" state="frozen"/>
      <selection pane="topRight" activeCell="S1" sqref="S1"/>
      <selection pane="bottomLeft" activeCell="A11" sqref="A11"/>
      <selection pane="bottomRight"/>
    </sheetView>
  </sheetViews>
  <sheetFormatPr defaultRowHeight="30.75" x14ac:dyDescent="0.45"/>
  <cols>
    <col min="1" max="2" width="9" style="145"/>
    <col min="3" max="3" width="4.125" style="145" customWidth="1"/>
    <col min="4" max="16384" width="9" style="145"/>
  </cols>
  <sheetData>
    <row r="2" spans="2:13" x14ac:dyDescent="0.45">
      <c r="B2" s="656" t="s">
        <v>159</v>
      </c>
      <c r="C2" s="656"/>
      <c r="D2" s="656"/>
      <c r="E2" s="656"/>
      <c r="F2" s="656"/>
      <c r="G2" s="656"/>
      <c r="H2" s="656"/>
      <c r="I2" s="656"/>
      <c r="J2" s="656"/>
      <c r="K2" s="656"/>
      <c r="L2" s="656"/>
      <c r="M2" s="656"/>
    </row>
    <row r="3" spans="2:13" x14ac:dyDescent="0.45"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</row>
    <row r="4" spans="2:13" x14ac:dyDescent="0.45">
      <c r="B4" s="147" t="s">
        <v>161</v>
      </c>
      <c r="C4" s="146"/>
      <c r="D4" s="146" t="s">
        <v>160</v>
      </c>
      <c r="E4" s="146"/>
      <c r="F4" s="146"/>
      <c r="G4" s="146"/>
      <c r="H4" s="146"/>
      <c r="I4" s="146"/>
      <c r="J4" s="146"/>
      <c r="K4" s="146"/>
      <c r="L4" s="146"/>
      <c r="M4" s="146"/>
    </row>
    <row r="5" spans="2:13" x14ac:dyDescent="0.45">
      <c r="B5" s="146"/>
      <c r="C5" s="146"/>
      <c r="D5" s="146" t="s">
        <v>220</v>
      </c>
      <c r="E5" s="146"/>
      <c r="F5" s="146"/>
      <c r="G5" s="146"/>
      <c r="H5" s="146"/>
      <c r="I5" s="146"/>
      <c r="J5" s="146"/>
      <c r="K5" s="146"/>
      <c r="L5" s="146"/>
      <c r="M5" s="146"/>
    </row>
    <row r="6" spans="2:13" x14ac:dyDescent="0.45">
      <c r="B6" s="148" t="s">
        <v>161</v>
      </c>
      <c r="C6" s="146"/>
      <c r="D6" s="146" t="s">
        <v>217</v>
      </c>
      <c r="E6" s="146"/>
      <c r="F6" s="146"/>
      <c r="G6" s="146"/>
      <c r="H6" s="146"/>
      <c r="I6" s="146"/>
      <c r="J6" s="146"/>
      <c r="K6" s="146"/>
      <c r="L6" s="146"/>
      <c r="M6" s="146"/>
    </row>
    <row r="7" spans="2:13" x14ac:dyDescent="0.45">
      <c r="B7" s="146"/>
      <c r="C7" s="146"/>
      <c r="D7" s="146" t="s">
        <v>221</v>
      </c>
      <c r="E7" s="146"/>
      <c r="F7" s="146"/>
      <c r="G7" s="146"/>
      <c r="H7" s="146"/>
      <c r="I7" s="146"/>
      <c r="J7" s="146"/>
      <c r="K7" s="146"/>
      <c r="L7" s="146"/>
      <c r="M7" s="146"/>
    </row>
    <row r="8" spans="2:13" x14ac:dyDescent="0.45">
      <c r="B8" s="149" t="s">
        <v>161</v>
      </c>
      <c r="C8" s="146"/>
      <c r="D8" s="146" t="s">
        <v>162</v>
      </c>
      <c r="E8" s="146"/>
      <c r="F8" s="146"/>
      <c r="G8" s="146"/>
      <c r="H8" s="146"/>
      <c r="I8" s="146"/>
      <c r="J8" s="146"/>
      <c r="K8" s="146"/>
      <c r="L8" s="146"/>
      <c r="M8" s="146"/>
    </row>
    <row r="9" spans="2:13" x14ac:dyDescent="0.45">
      <c r="B9" s="146"/>
      <c r="C9" s="146"/>
      <c r="D9" s="146" t="s">
        <v>222</v>
      </c>
      <c r="E9" s="146"/>
      <c r="F9" s="146"/>
      <c r="G9" s="146"/>
      <c r="H9" s="146"/>
      <c r="I9" s="146"/>
      <c r="J9" s="146"/>
      <c r="K9" s="146"/>
      <c r="L9" s="146"/>
      <c r="M9" s="146"/>
    </row>
  </sheetData>
  <sheetProtection algorithmName="SHA-512" hashValue="R+gNVLptnbVyvfzUBg42D6b/BKptajsK+3MANi3o7woXqSztdkVgrCdYzXWsztFjDbj2FJOd3wwFMe8Pw60mbg==" saltValue="U/rIYqk5fPBsTeSAsuTLGw==" spinCount="100000" sheet="1" objects="1" scenarios="1"/>
  <mergeCells count="1">
    <mergeCell ref="B2:M2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7</vt:i4>
      </vt:variant>
    </vt:vector>
  </HeadingPairs>
  <TitlesOfParts>
    <vt:vector size="16" baseType="lpstr">
      <vt:lpstr>สารบัญ</vt:lpstr>
      <vt:lpstr>DATA</vt:lpstr>
      <vt:lpstr>หน้าปก</vt:lpstr>
      <vt:lpstr>ปพ.5</vt:lpstr>
      <vt:lpstr>เวลาเรียน๑</vt:lpstr>
      <vt:lpstr>เวลาเรียน๒</vt:lpstr>
      <vt:lpstr>สรุปคะแนนA๔</vt:lpstr>
      <vt:lpstr>สรุปผลการเรียน</vt:lpstr>
      <vt:lpstr>คำแนะนำ</vt:lpstr>
      <vt:lpstr>ปพ.5!Print_Area</vt:lpstr>
      <vt:lpstr>เวลาเรียน๑!Print_Area</vt:lpstr>
      <vt:lpstr>เวลาเรียน๒!Print_Area</vt:lpstr>
      <vt:lpstr>สรุปคะแนนA๔!Print_Area</vt:lpstr>
      <vt:lpstr>สรุปผลการเรียน!Print_Area</vt:lpstr>
      <vt:lpstr>หน้าปก!Print_Area</vt:lpstr>
      <vt:lpstr>สรุปคะแนนA๔!Print_Titles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mfu-xx</dc:creator>
  <cp:lastModifiedBy>USER</cp:lastModifiedBy>
  <cp:lastPrinted>2018-11-19T06:47:04Z</cp:lastPrinted>
  <dcterms:created xsi:type="dcterms:W3CDTF">2013-09-23T01:15:28Z</dcterms:created>
  <dcterms:modified xsi:type="dcterms:W3CDTF">2020-08-21T07:09:23Z</dcterms:modified>
</cp:coreProperties>
</file>